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anexa 6c" sheetId="1" r:id="rId1"/>
  </sheets>
  <definedNames>
    <definedName name="_xlnm._FilterDatabase" localSheetId="0" hidden="1">'anexa 6c'!$A$4:$I$238</definedName>
    <definedName name="_xlnm.Print_Titles" localSheetId="0">'anexa 6c'!$2:$3</definedName>
  </definedNames>
  <calcPr fullCalcOnLoad="1"/>
</workbook>
</file>

<file path=xl/sharedStrings.xml><?xml version="1.0" encoding="utf-8"?>
<sst xmlns="http://schemas.openxmlformats.org/spreadsheetml/2006/main" count="245" uniqueCount="244">
  <si>
    <t>Nr. crt.</t>
  </si>
  <si>
    <t>Denumirea obiectivului de investiţie</t>
  </si>
  <si>
    <t xml:space="preserve">Prevederi 2009
</t>
  </si>
  <si>
    <t>Influenţă</t>
  </si>
  <si>
    <t>Valori rectificate</t>
  </si>
  <si>
    <t>din care:</t>
  </si>
  <si>
    <t>4=2+3</t>
  </si>
  <si>
    <t>TOTAL INVESTIŢII 2009 din care:</t>
  </si>
  <si>
    <t>CONSILIUL JUDEŢEAN MUREŞ, total din care</t>
  </si>
  <si>
    <t>Total cap.51</t>
  </si>
  <si>
    <t>Centru de perfecţionare pentru personalul din administraţia publică</t>
  </si>
  <si>
    <t>Studiu de fezabiliate pentru mentenanţa clădirii sediului administrativ</t>
  </si>
  <si>
    <t>Dotări la magazia str. Marton Aron</t>
  </si>
  <si>
    <t>SF Complex  "Parc"</t>
  </si>
  <si>
    <t>PT Complex  "Parc"</t>
  </si>
  <si>
    <t>Execuţie lucrări la Complexul "Parc"</t>
  </si>
  <si>
    <t>Reactualizare Plan de amenajare teritorială judeţean conform Legii nr.363/2006</t>
  </si>
  <si>
    <t>Aplicaţii GIS (Sistem informatic geografic)</t>
  </si>
  <si>
    <t>Plan urbanistic zonal Gorneşti</t>
  </si>
  <si>
    <t>Retea calculatoare (swich, cablare, etc)</t>
  </si>
  <si>
    <t>Echipamente de calcul (laptop etc)</t>
  </si>
  <si>
    <t>GeoMedia Professional (2xmentenanta+1licenta)</t>
  </si>
  <si>
    <t>Mentenanta anuala soft antivirus</t>
  </si>
  <si>
    <t>Mentenanta anuala software GeoMedia WebMap Notebock Small Scale</t>
  </si>
  <si>
    <t>Achiziţionare unimog - 2 buc.</t>
  </si>
  <si>
    <t>SF+PT pentru amenajare autogară P-ţa Mărăşti nr. 13A</t>
  </si>
  <si>
    <t>Managementul capacităţii instituţionale de luare a deciziilor, monitorizarea traficului - proiect</t>
  </si>
  <si>
    <t>Contribuţie la patrimoniul iniţial al Asociaţiei Intercomunitare Iernuţeana</t>
  </si>
  <si>
    <t>Total cap.66</t>
  </si>
  <si>
    <t>Avize spital regional</t>
  </si>
  <si>
    <t>Total cap.67</t>
  </si>
  <si>
    <t>Parc auto pentru sporturi cu motor - zona Ungheni</t>
  </si>
  <si>
    <t>Reabilitarea Muzeului de Ştiinţele Naturii</t>
  </si>
  <si>
    <t>Total cap.74</t>
  </si>
  <si>
    <t>Sistem integrat de management al deşeurilor în judeţul Mureş - Depozit Ecologic Zonal în judeţul Mureş</t>
  </si>
  <si>
    <t>Total cap.80</t>
  </si>
  <si>
    <t>Incubator de afaceri</t>
  </si>
  <si>
    <t xml:space="preserve">Achiziţionare teren pt. Parc Industrial </t>
  </si>
  <si>
    <t>Plan de marketing pentru promovarea judeţeului Mureş</t>
  </si>
  <si>
    <t>Centru Europa</t>
  </si>
  <si>
    <t>Total cap.84</t>
  </si>
  <si>
    <t xml:space="preserve">Reabilitarea şi modernizarea sistemului rutier pe drumul judeţean DJ 142C limita judeţ Sibiu - Coroisânmartin  </t>
  </si>
  <si>
    <t>Reabilitare şi modernizare sistem rutier pe drumurile judeţene DJ 107 şi DJ 107D (Parteneriat între CJ Alba şi CJ Mureş) - executie lucrari</t>
  </si>
  <si>
    <t>Reabilitarea, modernizarea drumului judeţean DJ 135 Mărgherani - Sărăţeni</t>
  </si>
  <si>
    <t>Reabilitarea sistemului rutier pe DJ 136  Sg de Padure - Bezid si DJ 136A Bezidul Nou - lim jud Harghita</t>
  </si>
  <si>
    <t>Documentaţii tehnico cadastrale, Sânpaul pentru extindere aeroport</t>
  </si>
  <si>
    <t>Documentaţii tehnico cadastrale, Vidrasău pentru extindere aeroport</t>
  </si>
  <si>
    <t>Achiziţii de teren  pentru AEROPORT TRANSILVANIA Tg. Mureş(extindere pistă)</t>
  </si>
  <si>
    <t>Total cap.87</t>
  </si>
  <si>
    <t>Generator pentru ISU</t>
  </si>
  <si>
    <t>DIRECŢIA JUDEŢEANĂ PENTRU EVIDENŢA PERSOANEI total din care:</t>
  </si>
  <si>
    <t>Sistem de calcul</t>
  </si>
  <si>
    <t>Copiator</t>
  </si>
  <si>
    <t>Program informatic stare civila</t>
  </si>
  <si>
    <t>Program informatic evidenta persoanelor</t>
  </si>
  <si>
    <t>SPJ SALVAMONT
total din care:</t>
  </si>
  <si>
    <t>Maşină de teren pt. intervenţii (1 buc.)</t>
  </si>
  <si>
    <t>Tub oxigen (1 buc.)</t>
  </si>
  <si>
    <t>Costum scafandru de iarnă (2 buc.)</t>
  </si>
  <si>
    <t>CENTRUL ŞCOLAR PENTRU EDUCAŢIE INCLUZIVĂ NR.1
total din care:</t>
  </si>
  <si>
    <t>Reabilitarea Centrului Şcolar pt. Educaţie Incluzivă nr.1</t>
  </si>
  <si>
    <t>Dotări mobilier</t>
  </si>
  <si>
    <t>CENTRUL ŞCOLAR PENTRU EDUCAŢIE INCLUZIVĂ NR.2
total din care:</t>
  </si>
  <si>
    <t>Dotări informatică - 5 calculatoare, 1 xerox</t>
  </si>
  <si>
    <t>CENTRUL ŞCOLAR PENTRU EDUCAŢIE INCLUZIVĂ NR.3 REGHIN
total din care:</t>
  </si>
  <si>
    <t>Loc de joacă pentru grădiniţă</t>
  </si>
  <si>
    <t>UNITĂŢI DE CULTURĂ
total din care:</t>
  </si>
  <si>
    <t>BIBLIOTECA JUDEŢEANĂ   
total din care:</t>
  </si>
  <si>
    <t>Lucrări de restaurare mobilier la sala de lectură</t>
  </si>
  <si>
    <t>Centrala termica la Biblioteca Teleki</t>
  </si>
  <si>
    <t>Proiect racord apa-canalizare pt filiala Aleea Carpati</t>
  </si>
  <si>
    <t>Proiect racord gaz pt biblioteca Teleki</t>
  </si>
  <si>
    <t>Restaurare clădire Biblioteca Teleky- Secţia de artă şi Galeria Ion Vlasiu</t>
  </si>
  <si>
    <t>Set licenţe</t>
  </si>
  <si>
    <t>Sistem antiefracţie şi de incendiu la biblioteca Teleki</t>
  </si>
  <si>
    <t>ANSAMBLUL ARTISTIC PROFESIONIST "MUREŞUL" 
total din care:</t>
  </si>
  <si>
    <t>Extindere, amenajare sală de repetiţie,studiou, magazie în str. Revoluţiei nr.45</t>
  </si>
  <si>
    <t>Documentaţie de avizare pt. lucrări de intervenţii şi PT Extindere, amenajare sală de repetiţie,studiou, magazie în str. Revoluţiei nr.45</t>
  </si>
  <si>
    <t>Achiziţionare mijloace de transport Dacia Logan 7 locuri</t>
  </si>
  <si>
    <t>acordeon profesionist</t>
  </si>
  <si>
    <t>contrabas profesionist</t>
  </si>
  <si>
    <t>Studiu de marketing şi analize cost beneficiu pentru lucrarea "Extindere, amenajare sală de repetiţie,studiou, magazie în str. Revoluţiei nr.45"</t>
  </si>
  <si>
    <t>ADMINISTRAŢIA PALATULUI CULTURII  total din care:</t>
  </si>
  <si>
    <t>Extindere reţea de supraveghere antifurt şi antiefracţie</t>
  </si>
  <si>
    <t>Restaurare clădire Biblioteca copiilor</t>
  </si>
  <si>
    <t>Studiu privind  mentenanţa clădirii pt. Palat - Etapa I</t>
  </si>
  <si>
    <t>Studiu privind  mentenanţa clădirii pt. Palat - Etapa II</t>
  </si>
  <si>
    <t>Doc de avizare a lucr de interventie+PT+CS pt lucrarea "Reabilitare incalzire centrala in Palatul Culturii</t>
  </si>
  <si>
    <t>Reabilitare incalzire centrala in Palatul Culturii</t>
  </si>
  <si>
    <t>Dotari (reflectoare, difuzoare, inst. audio-vizuale în sala de oglinzi şi sala mare)</t>
  </si>
  <si>
    <t>SF+PT+DE pentru Montare lift la Biblioteca Judeţeană, Palatul Culturii</t>
  </si>
  <si>
    <t>Montare lift la Biblioteca Judeţeană, Palatul Culturii</t>
  </si>
  <si>
    <t>MUZEUL JUDEŢEAN MUREŞ
 total din care:</t>
  </si>
  <si>
    <t>Achiziţii de obiecte muzeale pt. Secţia de etnografie, artă, şt.naturii,istorie, arheologie</t>
  </si>
  <si>
    <t xml:space="preserve">Dotari independente Sectia de etnografie :   </t>
  </si>
  <si>
    <t>Sistem de supraveghere video pt. spaţiu expoziţional de la parterul clădirii - 7000 lei</t>
  </si>
  <si>
    <t xml:space="preserve">Dotări independente Secţia de ştiinţele naturii:   </t>
  </si>
  <si>
    <t>Dulap entomologic- 2.500 lei</t>
  </si>
  <si>
    <t>1 calculator – 3.000 lei</t>
  </si>
  <si>
    <t>Dotări independente Laboratorul de restaurare-conservare :</t>
  </si>
  <si>
    <t xml:space="preserve">1 buc microscop –11.000 lei  </t>
  </si>
  <si>
    <t xml:space="preserve">1 buc Calculator – 3.000 lei  </t>
  </si>
  <si>
    <t>Dotări independente Secţia de istorie:</t>
  </si>
  <si>
    <t xml:space="preserve">1 calculator – 3.000 lei  </t>
  </si>
  <si>
    <t xml:space="preserve">Dotări independente Secţia de artă:  </t>
  </si>
  <si>
    <t xml:space="preserve">1 laptop – 3.000 lei  </t>
  </si>
  <si>
    <t xml:space="preserve">Sistem de protejare a tablourilor în spaţiile expoziţionale – 150.000 lei                                                                                                                                       </t>
  </si>
  <si>
    <t xml:space="preserve">Sistem de protejare a depozitelor contra incendiilor – 25.000 lei                                                                                                                                                                                              </t>
  </si>
  <si>
    <t>Dotari independente atelierul de tâmplărie</t>
  </si>
  <si>
    <t xml:space="preserve">Dotări independente IT:   </t>
  </si>
  <si>
    <t xml:space="preserve">Licenţe antivirus, licenţe Win, XP SP 2 – 35.000 lei   </t>
  </si>
  <si>
    <t>Site professional al muz. cu posibilităti de upgrade- 10.000 lei</t>
  </si>
  <si>
    <t xml:space="preserve">Autoturism de teren  pentru Secţia de arheologie pentru deplasari </t>
  </si>
  <si>
    <t>Proiect tehnic Muzeul de etnografie şi artă populară</t>
  </si>
  <si>
    <t>Proiect tehnic Parc arheologic Cetate</t>
  </si>
  <si>
    <t>Proiect tehnic Muzeul de ştiinţele naturii ( extindere)</t>
  </si>
  <si>
    <t>Clădire birouri şi depozite Muzeul de ştiinţele naturii (execuţie)</t>
  </si>
  <si>
    <t>TEATRUL PENTRU COPII ŞI TINERET TÂRGU MUREŞ ARIEL total din care:</t>
  </si>
  <si>
    <t>Documentaţia de avizare şi proiect tehnic pt. amenajarea "Teatrului Pentru Copii şi Tineret Târgu Mureş ARIEL</t>
  </si>
  <si>
    <t>Amenajare "Teatru pentru Copii şi Tineret Tîrgu Mureş Ariel</t>
  </si>
  <si>
    <t>FILARMONICA DE STAT TÎRGU MUREŞ total din care:</t>
  </si>
  <si>
    <t>Instrumente muzicale</t>
  </si>
  <si>
    <t>DIRECŢIA GENERALĂ DE ASISTENŢĂ SOCIALĂ ŞI PROTECŢIA COPILULUI MUREŞ total, din care:</t>
  </si>
  <si>
    <t>Extindere şi mansardare case familiale (Sîntana şi Bălăuşeri) -proiectare şi execuţie</t>
  </si>
  <si>
    <t>Amenajare teren de joacă şi împrejmuire cu gard la Complexul de case de tip familial Sâncraiul de Mureş ( 11 case)</t>
  </si>
  <si>
    <t xml:space="preserve">Lucrari de extindere la imobile existente : </t>
  </si>
  <si>
    <t xml:space="preserve"> - Construirea unei bai prin extindere imobil corp B la CRCDN Ceuas - str. Principala nr. 215) proiect - execuţie = 30.000 lei</t>
  </si>
  <si>
    <t>Inlocuire tamplarie de  lemn cu tamplarie de PVC pentru :</t>
  </si>
  <si>
    <t>CRCDN   Ceuaşu de Cîmpie str. Primariei nr. 417   =  15.000 lei</t>
  </si>
  <si>
    <t>Amenajarea şi dotarea unei încăperi cu oglindă unidirectională ( Ordinul 89/2004) -SIRU</t>
  </si>
  <si>
    <t>Sistem de încălzire centrală - SIRU Tg - Mureş str. Revoluţiei nr. 45</t>
  </si>
  <si>
    <t xml:space="preserve">Împrejmuirea cu gard a caselor de tip familial: </t>
  </si>
  <si>
    <t>Amenajare curte interioară CTF Reghin  str. Subcetate nr. 26</t>
  </si>
  <si>
    <t>Construire corp garaje 2 locuri CSCCH Sighişoara</t>
  </si>
  <si>
    <t xml:space="preserve">Licenţe programe de calculatoare (DGASPC Mureş)   </t>
  </si>
  <si>
    <t xml:space="preserve">Echipament de calcul :                                                                       </t>
  </si>
  <si>
    <t xml:space="preserve">Aparatură Kinetoterapie - pt CRCDN Ceuaşu de Campie  3 case </t>
  </si>
  <si>
    <t>Echipamente pentru spalatorie haine</t>
  </si>
  <si>
    <t>­ maşini de spălat semiprofesională - 6 buc Centrele din subordinea                                                                    DGASPC Mures = 27.000 lei</t>
  </si>
  <si>
    <t>­ echipament de călcat industrial CSC Sighişoara    =   2.000 lei</t>
  </si>
  <si>
    <t>­ maşină de uscat rufe - CSCH Sighişoara, CIA Glodeni   =  10.000 lei</t>
  </si>
  <si>
    <t>Instalaţie aer condiţionat pt. bucătărie Centrul maternal MATERNA</t>
  </si>
  <si>
    <t>Mijloace de transport :</t>
  </si>
  <si>
    <t>­ autoturisme 5 locuri - AMP, familial, rezidenţial, CIA Căpuş, Trebely nr. 3,  CP 8  Reghin ( 3 buc)   =  140.000 lei</t>
  </si>
  <si>
    <t>­ autoturism 8+1 locuri - SIRU Tg-Mureş   =  110.000 lei</t>
  </si>
  <si>
    <t>Centrală termică  - M. Nirajului str. Santandrei nr. 68</t>
  </si>
  <si>
    <t>Studiu geo, PUZ şi adaptare proiect pt. Extindere CRRN Brâncoveneşti</t>
  </si>
  <si>
    <t>Extindere si dotare la CRRN Brancovenesti - proiect "Extindere si dotare CRRN Brancovenesti"</t>
  </si>
  <si>
    <t>Restructurarea  CRRN Brancovenesti - crearea noului centru "Sf. Maria"</t>
  </si>
  <si>
    <t>Restructurarea  CRRN Brancovenesti - crearea noului centru "Primula"</t>
  </si>
  <si>
    <t>SF pentru Complex de servicii adulţi CP5 Luduş</t>
  </si>
  <si>
    <t>Alte studii de fezabilitate pt. diferite proiecte DGASPC Mureş</t>
  </si>
  <si>
    <t>RA AEROPORT TRANSILVANIA
total din care:</t>
  </si>
  <si>
    <t>Lucrări în continuare</t>
  </si>
  <si>
    <t>Reorganizare fluxuri aerogară</t>
  </si>
  <si>
    <t>Tâmplărie de aluminiu şi geam termopan aerogară</t>
  </si>
  <si>
    <t>Lucrări noi</t>
  </si>
  <si>
    <t>Extindere sistem sonorizare</t>
  </si>
  <si>
    <t>Execuţie instalaţie de alimentare cu gaz conform proiect aerogară</t>
  </si>
  <si>
    <t>Studii şi proiecte cu execuţie</t>
  </si>
  <si>
    <t>Reactualizare proiect alimentare cu gaz aeroport + execuţie SRM</t>
  </si>
  <si>
    <t>Proiect tehnic refuncţionalizare bloc cu legătură la terminal</t>
  </si>
  <si>
    <t>Reactualizare Preuzinal Aeroport</t>
  </si>
  <si>
    <t>Proiect şi execuţie mutare contor apă în incinta aeroportului</t>
  </si>
  <si>
    <t>Taxă de racordare pentru spor de putere la PT1</t>
  </si>
  <si>
    <t>Verificări proiecte (verificatori de proiecte autorizaţi)</t>
  </si>
  <si>
    <t>Dotări balizaj</t>
  </si>
  <si>
    <t xml:space="preserve">Telecomandă </t>
  </si>
  <si>
    <t>Baterii de condensatoare - 2 seturi</t>
  </si>
  <si>
    <t>UPS 160kWA - 2 buc.</t>
  </si>
  <si>
    <t>Răşină pentru şliţ, la dale de beton</t>
  </si>
  <si>
    <t>Dotări aerogară nouă</t>
  </si>
  <si>
    <t>Cântar +soft check - in +eliberator automat bordin pass check - in +echipament verificare şi control BP gate</t>
  </si>
  <si>
    <t>Benzi colectoare bagaje check-in +benzi transportoare bagaje</t>
  </si>
  <si>
    <t>Afişaj electronic ghişee check-in - 8 buc.</t>
  </si>
  <si>
    <t>Benzi rotative+ afişaj electronic -2 buc.</t>
  </si>
  <si>
    <t>Sistem sonorizare</t>
  </si>
  <si>
    <t>Sistem TVCI</t>
  </si>
  <si>
    <t>Sistem de semnalizare alarmă şi incendiu</t>
  </si>
  <si>
    <t>Instalaţii de curenţi slabi - telefonie + internet</t>
  </si>
  <si>
    <t>Panouri de informare</t>
  </si>
  <si>
    <t xml:space="preserve">Mobilier </t>
  </si>
  <si>
    <t>Dotări echipamente de securitate</t>
  </si>
  <si>
    <t>Dotări pentru funcţionarea aeroportului</t>
  </si>
  <si>
    <t>Achiziţie lift scară pasageri pt. persoane cu dizabilităţi locomotorii - 1 buc.</t>
  </si>
  <si>
    <t>Mânecă de vânt -1 buc.</t>
  </si>
  <si>
    <t>Echipament de semnalizare pt. follow-me -1 buc.</t>
  </si>
  <si>
    <t>Autoturism intervenţie pistă - 1 buc.</t>
  </si>
  <si>
    <t>Avize Plan de amenajare teritorială judeţean conform Legii nr.363/2006</t>
  </si>
  <si>
    <t>Buget local</t>
  </si>
  <si>
    <t>Fond de  rulment</t>
  </si>
  <si>
    <t>Fonduri nerambursabile</t>
  </si>
  <si>
    <t>Drum legătură platformă grup tehnic</t>
  </si>
  <si>
    <t>Studiu + PT drum acces auto</t>
  </si>
  <si>
    <t>Licenţă de utilizare aplicaţie stare civilă</t>
  </si>
  <si>
    <t>Program antivirus</t>
  </si>
  <si>
    <t>Centrală termică clădire Tîrnăveni</t>
  </si>
  <si>
    <t>Compartimentare mansardă la casa de tip familial str. Subcetate Reghin</t>
  </si>
  <si>
    <t>Soluţie de gestiune a căilor rutiere - modulul Investiţii</t>
  </si>
  <si>
    <t>Cercetare privind componentele artistice ale clădirii Muzeului de Ştiinţele Naturii  şi Studiu pentru material lemnos aferent aceleiaşi clădiri</t>
  </si>
  <si>
    <t xml:space="preserve">Proiect tehnic, Caiet de sarcini, Detalii de execuţie pentru reabilitarea Muzeului de Ştiinţele Naturii </t>
  </si>
  <si>
    <t>Proiecte de rezistenţă, instalaţii şi obţinere autorizaţii  Parc arheologic Cetate</t>
  </si>
  <si>
    <t>Dezumidificator aer Biblioteca Teleki</t>
  </si>
  <si>
    <t>Reconstrucţie structuri şi faţade vechi  Parc arheologic Cetate</t>
  </si>
  <si>
    <t xml:space="preserve"> -lei-  </t>
  </si>
  <si>
    <t>Detector de urme de explozivi (1 buc)</t>
  </si>
  <si>
    <t xml:space="preserve">Aparat RX pe şasiu cu tunel de mici dimensiuni </t>
  </si>
  <si>
    <t>Porţi detectoare de metale (2 buc)</t>
  </si>
  <si>
    <t>Extindere platforme şi cale de rulare (inclusiv diriginte şantier)</t>
  </si>
  <si>
    <t>Drumuri de incintă (inclusiv diriginte şantier)</t>
  </si>
  <si>
    <t>Instalare echipamente de balizaj de cat. II OACI (inclusiv diriginte şantier)</t>
  </si>
  <si>
    <t>Extindere şi mansardare clădire CIA Lunca Mureşului-proiectare şi execuţie</t>
  </si>
  <si>
    <t>Staţie monobloc de epurare biologică a apelor fecaloide (CIA Lunca Mureşului)-proiectare şi execuţie</t>
  </si>
  <si>
    <t>CRCDN   PIN2 Tg. Mures  = 18.000 lei</t>
  </si>
  <si>
    <t>Achiziţie şi montaj echipamente sistem integrat de securitate:</t>
  </si>
  <si>
    <t>- sistem control acces aerogară - 68.728 lei</t>
  </si>
  <si>
    <t>- sistem supraveghere prin TVCI aerogară existentă - 60.000 lei</t>
  </si>
  <si>
    <t>- sistem supraveghere prin TVCI exterior aerogară, platformă aeronave, parcare auto - 60.000 lei</t>
  </si>
  <si>
    <t>- extindere sistem acces autovehicule automatizat, cu cititor de cartele şi sistem prepay - 143.000 lei</t>
  </si>
  <si>
    <t>CENTRUL JUDEŢEAN PENTRU CONSERVAREA ŞI PROMOVAREA CULTURII TRADIŢIONALE MUREŞ</t>
  </si>
  <si>
    <t>Licenţă Windows XP service pack 2</t>
  </si>
  <si>
    <t>Aparat foto CANON SX20</t>
  </si>
  <si>
    <t>Micropoarte profesionale (6 seturi)</t>
  </si>
  <si>
    <t>Centrală termică pentru Casa de tip familial Petelea</t>
  </si>
  <si>
    <t>Centrală termică cu boiler pentru Casa de tip familial Sîntana</t>
  </si>
  <si>
    <t>Platformă de evaluare psihologică computerizată - PED</t>
  </si>
  <si>
    <t xml:space="preserve">­ imprimanta format A3  2 buc     = 0 lei </t>
  </si>
  <si>
    <t>­ copiatoare ( xerox)  1 buc format A3 , 2 buc. format A4    = 2820 lei</t>
  </si>
  <si>
    <t>­ storcător de haine industrial CRRN Brâncoveneşti  = 31.000 lei</t>
  </si>
  <si>
    <t xml:space="preserve">Înlocuire tâmplărie de lemn cu tâmplărie PVC </t>
  </si>
  <si>
    <t>Montare panou luminos la Centrul de Informare Turistică</t>
  </si>
  <si>
    <t>PT Reabilitare, modernizare şi echipare ambulatoriu Spital Clinic Judeţean de Urgenţă Tîrgu Mureş</t>
  </si>
  <si>
    <t>Avize, acorduri "Reabilitarea Muzeului de Ştiinţele Naturii"</t>
  </si>
  <si>
    <t>PT Modernizare şi dotare ambulatoriu Spital Clinic Judeţean Mureş</t>
  </si>
  <si>
    <t>Studiu determinare capacitate portantă</t>
  </si>
  <si>
    <t>Determinare GPS pentru puncte INS la Aeroport</t>
  </si>
  <si>
    <t>Proiect şi execuţie instalaţie electrică aerogara veche</t>
  </si>
  <si>
    <t>Maşină de spălat pardoseli - 2 buc</t>
  </si>
  <si>
    <t>Studiu impact cerinţe spaţiu Schengen la ATM</t>
  </si>
  <si>
    <t>Schele mobile cu platformă</t>
  </si>
  <si>
    <t>Documentaţie raport de mediu pentru Reactualizare Plan de Amenajare Teritorială Judeţean</t>
  </si>
  <si>
    <t xml:space="preserve">­ proiectare       6.000 lei </t>
  </si>
  <si>
    <t>­ calculatoare cu accesorii   5 buc   =  10.000  lei</t>
  </si>
  <si>
    <t>­ maşini de spălat industriale - CRRN Brâncoveneşti, CIA Lunca Mureş, Sighişoara CRRN  Călugăreni = 138.000 lei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</si>
</sst>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right" vertical="center"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left" vertical="center" wrapText="1"/>
    </xf>
    <xf numFmtId="3" fontId="4" fillId="3" borderId="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2" fontId="0" fillId="0" borderId="4" xfId="18" applyNumberFormat="1" applyFont="1" applyFill="1" applyBorder="1" applyAlignment="1">
      <alignment horizontal="left" vertical="center" wrapText="1"/>
      <protection/>
    </xf>
    <xf numFmtId="3" fontId="0" fillId="0" borderId="4" xfId="0" applyNumberFormat="1" applyFont="1" applyFill="1" applyBorder="1" applyAlignment="1">
      <alignment horizontal="right" vertical="center" wrapText="1"/>
    </xf>
    <xf numFmtId="3" fontId="0" fillId="0" borderId="4" xfId="18" applyNumberFormat="1" applyFont="1" applyFill="1" applyBorder="1" applyAlignment="1">
      <alignment horizontal="right" vertical="center" wrapText="1"/>
      <protection/>
    </xf>
    <xf numFmtId="3" fontId="0" fillId="0" borderId="4" xfId="0" applyNumberFormat="1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4" fontId="0" fillId="3" borderId="4" xfId="19" applyFont="1" applyFill="1" applyBorder="1" applyAlignment="1">
      <alignment vertical="center" wrapText="1"/>
      <protection/>
    </xf>
    <xf numFmtId="3" fontId="0" fillId="3" borderId="4" xfId="19" applyNumberFormat="1" applyFont="1" applyFill="1" applyBorder="1" applyAlignment="1">
      <alignment horizontal="right" vertical="center" wrapText="1"/>
      <protection/>
    </xf>
    <xf numFmtId="3" fontId="0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4" fillId="4" borderId="4" xfId="0" applyFont="1" applyFill="1" applyBorder="1" applyAlignment="1">
      <alignment vertical="center"/>
    </xf>
    <xf numFmtId="49" fontId="7" fillId="4" borderId="4" xfId="17" applyNumberFormat="1" applyFont="1" applyFill="1" applyBorder="1" applyAlignment="1">
      <alignment vertical="center" wrapText="1"/>
      <protection/>
    </xf>
    <xf numFmtId="3" fontId="7" fillId="4" borderId="4" xfId="0" applyNumberFormat="1" applyFont="1" applyFill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/>
    </xf>
    <xf numFmtId="49" fontId="7" fillId="5" borderId="4" xfId="17" applyNumberFormat="1" applyFont="1" applyFill="1" applyBorder="1" applyAlignment="1">
      <alignment vertical="center" wrapText="1"/>
      <protection/>
    </xf>
    <xf numFmtId="3" fontId="7" fillId="5" borderId="4" xfId="0" applyNumberFormat="1" applyFont="1" applyFill="1" applyBorder="1" applyAlignment="1">
      <alignment vertical="center" wrapText="1"/>
    </xf>
    <xf numFmtId="49" fontId="0" fillId="0" borderId="4" xfId="17" applyNumberFormat="1" applyFont="1" applyFill="1" applyBorder="1" applyAlignment="1">
      <alignment vertical="center" wrapText="1"/>
      <protection/>
    </xf>
    <xf numFmtId="3" fontId="0" fillId="0" borderId="4" xfId="17" applyNumberFormat="1" applyFont="1" applyFill="1" applyBorder="1" applyAlignment="1">
      <alignment horizontal="right" vertical="center" wrapText="1"/>
      <protection/>
    </xf>
    <xf numFmtId="3" fontId="0" fillId="0" borderId="4" xfId="17" applyNumberFormat="1" applyFont="1" applyFill="1" applyBorder="1" applyAlignment="1">
      <alignment vertical="center" wrapText="1"/>
      <protection/>
    </xf>
    <xf numFmtId="0" fontId="0" fillId="5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 wrapText="1"/>
    </xf>
    <xf numFmtId="3" fontId="8" fillId="6" borderId="4" xfId="0" applyNumberFormat="1" applyFont="1" applyFill="1" applyBorder="1" applyAlignment="1">
      <alignment horizontal="right" vertical="center" wrapText="1"/>
    </xf>
    <xf numFmtId="3" fontId="8" fillId="6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49" fontId="9" fillId="0" borderId="4" xfId="17" applyNumberFormat="1" applyFont="1" applyFill="1" applyBorder="1" applyAlignment="1">
      <alignment vertical="center" wrapText="1"/>
      <protection/>
    </xf>
    <xf numFmtId="3" fontId="9" fillId="0" borderId="4" xfId="17" applyNumberFormat="1" applyFont="1" applyFill="1" applyBorder="1" applyAlignment="1">
      <alignment horizontal="right" vertical="center" wrapText="1"/>
      <protection/>
    </xf>
    <xf numFmtId="3" fontId="9" fillId="0" borderId="4" xfId="17" applyNumberFormat="1" applyFont="1" applyFill="1" applyBorder="1" applyAlignment="1">
      <alignment vertical="center" wrapText="1"/>
      <protection/>
    </xf>
    <xf numFmtId="3" fontId="9" fillId="0" borderId="4" xfId="0" applyNumberFormat="1" applyFont="1" applyFill="1" applyBorder="1" applyAlignment="1">
      <alignment vertical="center" wrapText="1"/>
    </xf>
    <xf numFmtId="49" fontId="9" fillId="0" borderId="4" xfId="17" applyNumberFormat="1" applyFont="1" applyFill="1" applyBorder="1" applyAlignment="1">
      <alignment horizontal="left" vertical="center" wrapText="1"/>
      <protection/>
    </xf>
    <xf numFmtId="3" fontId="9" fillId="0" borderId="4" xfId="17" applyNumberFormat="1" applyFont="1" applyFill="1" applyBorder="1" applyAlignment="1">
      <alignment horizontal="left" vertical="center" wrapText="1"/>
      <protection/>
    </xf>
    <xf numFmtId="0" fontId="0" fillId="0" borderId="4" xfId="0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4" xfId="17" applyNumberFormat="1" applyFont="1" applyFill="1" applyBorder="1" applyAlignment="1">
      <alignment vertical="center" wrapText="1"/>
      <protection/>
    </xf>
    <xf numFmtId="3" fontId="4" fillId="0" borderId="4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3" fontId="0" fillId="0" borderId="4" xfId="19" applyNumberFormat="1" applyFont="1" applyBorder="1" applyAlignment="1">
      <alignment horizontal="right" vertical="center" wrapText="1"/>
      <protection/>
    </xf>
    <xf numFmtId="3" fontId="0" fillId="0" borderId="4" xfId="19" applyNumberFormat="1" applyFont="1" applyBorder="1" applyAlignment="1">
      <alignment vertical="center" wrapText="1"/>
      <protection/>
    </xf>
    <xf numFmtId="0" fontId="0" fillId="0" borderId="4" xfId="0" applyFont="1" applyBorder="1" applyAlignment="1">
      <alignment horizontal="justify" vertical="center"/>
    </xf>
    <xf numFmtId="3" fontId="0" fillId="0" borderId="4" xfId="0" applyNumberFormat="1" applyFont="1" applyBorder="1" applyAlignment="1">
      <alignment horizontal="right" vertical="center"/>
    </xf>
    <xf numFmtId="3" fontId="4" fillId="0" borderId="4" xfId="19" applyNumberFormat="1" applyFont="1" applyBorder="1" applyAlignment="1">
      <alignment horizontal="right" vertical="center" wrapText="1"/>
      <protection/>
    </xf>
    <xf numFmtId="0" fontId="0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85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49" fontId="4" fillId="0" borderId="4" xfId="17" applyNumberFormat="1" applyFont="1" applyFill="1" applyBorder="1" applyAlignment="1">
      <alignment vertical="center" wrapText="1"/>
      <protection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vertical="center"/>
    </xf>
  </cellXfs>
  <cellStyles count="11">
    <cellStyle name="Normal" xfId="0"/>
    <cellStyle name="Hyperlink" xfId="15"/>
    <cellStyle name="Followed Hyperlink" xfId="16"/>
    <cellStyle name="Normal_Foaie1" xfId="17"/>
    <cellStyle name="Normal_lISTA DE INVEST APROBARE" xfId="18"/>
    <cellStyle name="Normal_Sheet1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5"/>
  <sheetViews>
    <sheetView tabSelected="1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4" sqref="I14"/>
    </sheetView>
  </sheetViews>
  <sheetFormatPr defaultColWidth="9.140625" defaultRowHeight="12.75"/>
  <cols>
    <col min="1" max="1" width="4.57421875" style="65" customWidth="1"/>
    <col min="2" max="2" width="51.140625" style="65" customWidth="1"/>
    <col min="3" max="3" width="10.8515625" style="65" customWidth="1"/>
    <col min="4" max="4" width="10.140625" style="65" customWidth="1"/>
    <col min="5" max="6" width="10.7109375" style="69" customWidth="1"/>
    <col min="7" max="7" width="11.7109375" style="10" customWidth="1"/>
    <col min="8" max="8" width="11.140625" style="10" customWidth="1"/>
    <col min="9" max="16384" width="9.140625" style="10" customWidth="1"/>
  </cols>
  <sheetData>
    <row r="1" ht="13.5" thickBot="1">
      <c r="H1" s="92" t="s">
        <v>204</v>
      </c>
    </row>
    <row r="2" spans="1:8" s="1" customFormat="1" ht="12.75" customHeight="1" thickBot="1">
      <c r="A2" s="105" t="s">
        <v>0</v>
      </c>
      <c r="B2" s="105" t="s">
        <v>1</v>
      </c>
      <c r="C2" s="107" t="s">
        <v>2</v>
      </c>
      <c r="D2" s="107" t="s">
        <v>3</v>
      </c>
      <c r="E2" s="101" t="s">
        <v>4</v>
      </c>
      <c r="F2" s="98" t="s">
        <v>5</v>
      </c>
      <c r="G2" s="99"/>
      <c r="H2" s="100"/>
    </row>
    <row r="3" spans="1:8" s="1" customFormat="1" ht="54" customHeight="1" thickBot="1">
      <c r="A3" s="106"/>
      <c r="B3" s="106"/>
      <c r="C3" s="108"/>
      <c r="D3" s="108"/>
      <c r="E3" s="102"/>
      <c r="F3" s="2" t="s">
        <v>189</v>
      </c>
      <c r="G3" s="3" t="s">
        <v>190</v>
      </c>
      <c r="H3" s="3" t="s">
        <v>191</v>
      </c>
    </row>
    <row r="4" spans="1:8" s="1" customFormat="1" ht="15.75" customHeight="1" thickBot="1">
      <c r="A4" s="4">
        <v>0</v>
      </c>
      <c r="B4" s="4">
        <v>1</v>
      </c>
      <c r="C4" s="4">
        <v>2</v>
      </c>
      <c r="D4" s="4">
        <v>3</v>
      </c>
      <c r="E4" s="5" t="s">
        <v>6</v>
      </c>
      <c r="F4" s="5">
        <v>5</v>
      </c>
      <c r="G4" s="6">
        <v>6</v>
      </c>
      <c r="H4" s="6">
        <v>7</v>
      </c>
    </row>
    <row r="5" spans="1:18" ht="13.5" thickTop="1">
      <c r="A5" s="7"/>
      <c r="B5" s="8" t="s">
        <v>7</v>
      </c>
      <c r="C5" s="9">
        <f aca="true" t="shared" si="0" ref="C5:H5">C6+C58+C69+C72+C75+C77+C140+C184+C65</f>
        <v>46644036</v>
      </c>
      <c r="D5" s="9">
        <f t="shared" si="0"/>
        <v>85600</v>
      </c>
      <c r="E5" s="9">
        <f t="shared" si="0"/>
        <v>46729636</v>
      </c>
      <c r="F5" s="9">
        <f t="shared" si="0"/>
        <v>295633</v>
      </c>
      <c r="G5" s="9">
        <f t="shared" si="0"/>
        <v>36483557</v>
      </c>
      <c r="H5" s="9">
        <f t="shared" si="0"/>
        <v>9950446</v>
      </c>
      <c r="I5" s="91"/>
      <c r="M5" s="91"/>
      <c r="N5" s="91"/>
      <c r="O5" s="91"/>
      <c r="P5" s="91"/>
      <c r="R5" s="91"/>
    </row>
    <row r="6" spans="1:18" ht="12.75">
      <c r="A6" s="11"/>
      <c r="B6" s="12" t="s">
        <v>8</v>
      </c>
      <c r="C6" s="13">
        <f aca="true" t="shared" si="1" ref="C6:H6">C7+C33+C39+C41+C47+C29+C56</f>
        <v>25958551</v>
      </c>
      <c r="D6" s="13">
        <f t="shared" si="1"/>
        <v>0</v>
      </c>
      <c r="E6" s="13">
        <f t="shared" si="1"/>
        <v>25958551</v>
      </c>
      <c r="F6" s="13">
        <f t="shared" si="1"/>
        <v>258533</v>
      </c>
      <c r="G6" s="13">
        <f t="shared" si="1"/>
        <v>15749572</v>
      </c>
      <c r="H6" s="13">
        <f t="shared" si="1"/>
        <v>9950446</v>
      </c>
      <c r="I6" s="91"/>
      <c r="M6" s="91"/>
      <c r="N6" s="91"/>
      <c r="O6" s="91"/>
      <c r="P6" s="91"/>
      <c r="R6" s="91"/>
    </row>
    <row r="7" spans="1:18" s="17" customFormat="1" ht="12.75">
      <c r="A7" s="14"/>
      <c r="B7" s="15" t="s">
        <v>9</v>
      </c>
      <c r="C7" s="16">
        <f aca="true" t="shared" si="2" ref="C7:H7">SUM(C8:C28)</f>
        <v>4744270</v>
      </c>
      <c r="D7" s="16">
        <f t="shared" si="2"/>
        <v>-495000</v>
      </c>
      <c r="E7" s="16">
        <f t="shared" si="2"/>
        <v>4249270</v>
      </c>
      <c r="F7" s="16">
        <f t="shared" si="2"/>
        <v>0</v>
      </c>
      <c r="G7" s="16">
        <f t="shared" si="2"/>
        <v>4249270</v>
      </c>
      <c r="H7" s="16">
        <f t="shared" si="2"/>
        <v>0</v>
      </c>
      <c r="I7" s="91"/>
      <c r="M7" s="91"/>
      <c r="N7" s="91"/>
      <c r="O7" s="91"/>
      <c r="P7" s="91"/>
      <c r="R7" s="91"/>
    </row>
    <row r="8" spans="1:18" ht="25.5">
      <c r="A8" s="18">
        <v>1</v>
      </c>
      <c r="B8" s="19" t="s">
        <v>10</v>
      </c>
      <c r="C8" s="20">
        <v>700000</v>
      </c>
      <c r="D8" s="21"/>
      <c r="E8" s="22">
        <f aca="true" t="shared" si="3" ref="E8:E28">C8+D8</f>
        <v>700000</v>
      </c>
      <c r="F8" s="22"/>
      <c r="G8" s="22">
        <v>700000</v>
      </c>
      <c r="H8" s="23"/>
      <c r="I8" s="91"/>
      <c r="M8" s="91"/>
      <c r="N8" s="91"/>
      <c r="O8" s="91"/>
      <c r="P8" s="91"/>
      <c r="R8" s="91"/>
    </row>
    <row r="9" spans="1:18" ht="25.5">
      <c r="A9" s="18">
        <v>2</v>
      </c>
      <c r="B9" s="24" t="s">
        <v>11</v>
      </c>
      <c r="C9" s="20">
        <v>130000</v>
      </c>
      <c r="D9" s="20"/>
      <c r="E9" s="22">
        <f t="shared" si="3"/>
        <v>130000</v>
      </c>
      <c r="F9" s="22"/>
      <c r="G9" s="22">
        <v>130000</v>
      </c>
      <c r="H9" s="23"/>
      <c r="I9" s="91"/>
      <c r="M9" s="91"/>
      <c r="N9" s="91"/>
      <c r="O9" s="91"/>
      <c r="P9" s="91"/>
      <c r="R9" s="91"/>
    </row>
    <row r="10" spans="1:18" ht="12.75">
      <c r="A10" s="18">
        <v>3</v>
      </c>
      <c r="B10" s="24" t="s">
        <v>12</v>
      </c>
      <c r="C10" s="20">
        <v>14000</v>
      </c>
      <c r="D10" s="20"/>
      <c r="E10" s="22">
        <f t="shared" si="3"/>
        <v>14000</v>
      </c>
      <c r="F10" s="22"/>
      <c r="G10" s="22">
        <v>14000</v>
      </c>
      <c r="H10" s="23"/>
      <c r="I10" s="91"/>
      <c r="M10" s="91"/>
      <c r="N10" s="91"/>
      <c r="O10" s="91"/>
      <c r="P10" s="91"/>
      <c r="R10" s="91"/>
    </row>
    <row r="11" spans="1:18" ht="12.75">
      <c r="A11" s="18">
        <v>4</v>
      </c>
      <c r="B11" s="24" t="s">
        <v>13</v>
      </c>
      <c r="C11" s="20">
        <v>100000</v>
      </c>
      <c r="D11" s="20"/>
      <c r="E11" s="22">
        <f t="shared" si="3"/>
        <v>100000</v>
      </c>
      <c r="F11" s="22"/>
      <c r="G11" s="22">
        <v>100000</v>
      </c>
      <c r="H11" s="23"/>
      <c r="I11" s="91"/>
      <c r="M11" s="91"/>
      <c r="N11" s="91"/>
      <c r="O11" s="91"/>
      <c r="P11" s="91"/>
      <c r="R11" s="91"/>
    </row>
    <row r="12" spans="1:18" ht="12.75">
      <c r="A12" s="18">
        <v>5</v>
      </c>
      <c r="B12" s="24" t="s">
        <v>14</v>
      </c>
      <c r="C12" s="20">
        <v>200000</v>
      </c>
      <c r="D12" s="20"/>
      <c r="E12" s="22">
        <f t="shared" si="3"/>
        <v>200000</v>
      </c>
      <c r="F12" s="22"/>
      <c r="G12" s="22">
        <v>200000</v>
      </c>
      <c r="H12" s="23"/>
      <c r="I12" s="91"/>
      <c r="M12" s="91"/>
      <c r="N12" s="91"/>
      <c r="O12" s="91"/>
      <c r="P12" s="91"/>
      <c r="R12" s="91"/>
    </row>
    <row r="13" spans="1:18" ht="12.75">
      <c r="A13" s="18">
        <v>6</v>
      </c>
      <c r="B13" s="24" t="s">
        <v>15</v>
      </c>
      <c r="C13" s="20">
        <v>383470</v>
      </c>
      <c r="D13" s="20"/>
      <c r="E13" s="22">
        <f t="shared" si="3"/>
        <v>383470</v>
      </c>
      <c r="F13" s="22"/>
      <c r="G13" s="22">
        <f>1500000-1046530-70000</f>
        <v>383470</v>
      </c>
      <c r="H13" s="23"/>
      <c r="I13" s="91"/>
      <c r="M13" s="91"/>
      <c r="N13" s="91"/>
      <c r="O13" s="91"/>
      <c r="P13" s="91"/>
      <c r="R13" s="91"/>
    </row>
    <row r="14" spans="1:18" ht="25.5">
      <c r="A14" s="18">
        <v>7</v>
      </c>
      <c r="B14" s="24" t="s">
        <v>16</v>
      </c>
      <c r="C14" s="20">
        <v>123000</v>
      </c>
      <c r="D14" s="20"/>
      <c r="E14" s="22">
        <f t="shared" si="3"/>
        <v>123000</v>
      </c>
      <c r="F14" s="22"/>
      <c r="G14" s="22">
        <f>123000</f>
        <v>123000</v>
      </c>
      <c r="H14" s="23"/>
      <c r="I14" s="91"/>
      <c r="M14" s="91"/>
      <c r="N14" s="91"/>
      <c r="O14" s="91"/>
      <c r="P14" s="91"/>
      <c r="R14" s="91"/>
    </row>
    <row r="15" spans="1:18" ht="25.5">
      <c r="A15" s="18">
        <v>8</v>
      </c>
      <c r="B15" s="24" t="s">
        <v>188</v>
      </c>
      <c r="C15" s="20">
        <v>4000</v>
      </c>
      <c r="D15" s="20"/>
      <c r="E15" s="22">
        <f t="shared" si="3"/>
        <v>4000</v>
      </c>
      <c r="F15" s="22"/>
      <c r="G15" s="22">
        <f>2000+2000</f>
        <v>4000</v>
      </c>
      <c r="H15" s="23"/>
      <c r="I15" s="91"/>
      <c r="M15" s="91"/>
      <c r="N15" s="91"/>
      <c r="O15" s="91"/>
      <c r="P15" s="91"/>
      <c r="R15" s="91"/>
    </row>
    <row r="16" spans="1:18" ht="12.75">
      <c r="A16" s="18">
        <v>9</v>
      </c>
      <c r="B16" s="24" t="s">
        <v>17</v>
      </c>
      <c r="C16" s="20">
        <v>180000</v>
      </c>
      <c r="D16" s="20"/>
      <c r="E16" s="22">
        <f t="shared" si="3"/>
        <v>180000</v>
      </c>
      <c r="F16" s="22"/>
      <c r="G16" s="22">
        <v>180000</v>
      </c>
      <c r="H16" s="23"/>
      <c r="I16" s="91"/>
      <c r="M16" s="91"/>
      <c r="N16" s="91"/>
      <c r="O16" s="91"/>
      <c r="P16" s="91"/>
      <c r="R16" s="91"/>
    </row>
    <row r="17" spans="1:18" ht="12.75">
      <c r="A17" s="18">
        <v>10</v>
      </c>
      <c r="B17" s="24" t="s">
        <v>18</v>
      </c>
      <c r="C17" s="20">
        <v>50400</v>
      </c>
      <c r="D17" s="20"/>
      <c r="E17" s="22">
        <f t="shared" si="3"/>
        <v>50400</v>
      </c>
      <c r="F17" s="22"/>
      <c r="G17" s="22">
        <f>100000-49600</f>
        <v>50400</v>
      </c>
      <c r="H17" s="23"/>
      <c r="I17" s="91"/>
      <c r="M17" s="91"/>
      <c r="N17" s="91"/>
      <c r="O17" s="91"/>
      <c r="P17" s="91"/>
      <c r="R17" s="91"/>
    </row>
    <row r="18" spans="1:18" ht="12.75">
      <c r="A18" s="18">
        <v>11</v>
      </c>
      <c r="B18" s="25" t="s">
        <v>19</v>
      </c>
      <c r="C18" s="72">
        <v>15300</v>
      </c>
      <c r="D18" s="26"/>
      <c r="E18" s="22">
        <f t="shared" si="3"/>
        <v>15300</v>
      </c>
      <c r="F18" s="73"/>
      <c r="G18" s="73">
        <v>15300</v>
      </c>
      <c r="H18" s="23"/>
      <c r="I18" s="91"/>
      <c r="M18" s="91"/>
      <c r="N18" s="91"/>
      <c r="O18" s="91"/>
      <c r="P18" s="91"/>
      <c r="R18" s="91"/>
    </row>
    <row r="19" spans="1:18" ht="12.75">
      <c r="A19" s="18">
        <v>12</v>
      </c>
      <c r="B19" s="74" t="s">
        <v>20</v>
      </c>
      <c r="C19" s="72">
        <v>51000</v>
      </c>
      <c r="D19" s="75"/>
      <c r="E19" s="22">
        <f t="shared" si="3"/>
        <v>51000</v>
      </c>
      <c r="F19" s="73"/>
      <c r="G19" s="73">
        <v>51000</v>
      </c>
      <c r="H19" s="23"/>
      <c r="I19" s="91"/>
      <c r="M19" s="91"/>
      <c r="N19" s="91"/>
      <c r="O19" s="91"/>
      <c r="P19" s="91"/>
      <c r="R19" s="91"/>
    </row>
    <row r="20" spans="1:18" ht="12.75">
      <c r="A20" s="18">
        <v>13</v>
      </c>
      <c r="B20" s="74" t="s">
        <v>21</v>
      </c>
      <c r="C20" s="72">
        <v>95700</v>
      </c>
      <c r="D20" s="75"/>
      <c r="E20" s="22">
        <f t="shared" si="3"/>
        <v>95700</v>
      </c>
      <c r="F20" s="73"/>
      <c r="G20" s="73">
        <v>95700</v>
      </c>
      <c r="H20" s="23"/>
      <c r="I20" s="91"/>
      <c r="M20" s="91"/>
      <c r="N20" s="91"/>
      <c r="O20" s="91"/>
      <c r="P20" s="91"/>
      <c r="R20" s="91"/>
    </row>
    <row r="21" spans="1:18" ht="12.75">
      <c r="A21" s="18">
        <v>14</v>
      </c>
      <c r="B21" s="74" t="s">
        <v>22</v>
      </c>
      <c r="C21" s="72">
        <v>20300</v>
      </c>
      <c r="D21" s="75"/>
      <c r="E21" s="22">
        <f t="shared" si="3"/>
        <v>20300</v>
      </c>
      <c r="F21" s="73"/>
      <c r="G21" s="73">
        <v>20300</v>
      </c>
      <c r="H21" s="23"/>
      <c r="I21" s="91"/>
      <c r="M21" s="91"/>
      <c r="N21" s="91"/>
      <c r="O21" s="91"/>
      <c r="P21" s="91"/>
      <c r="R21" s="91"/>
    </row>
    <row r="22" spans="1:18" ht="25.5">
      <c r="A22" s="18">
        <v>15</v>
      </c>
      <c r="B22" s="74" t="s">
        <v>23</v>
      </c>
      <c r="C22" s="72">
        <v>20000</v>
      </c>
      <c r="D22" s="75"/>
      <c r="E22" s="22">
        <f t="shared" si="3"/>
        <v>20000</v>
      </c>
      <c r="F22" s="73"/>
      <c r="G22" s="73">
        <v>20000</v>
      </c>
      <c r="H22" s="23"/>
      <c r="I22" s="91"/>
      <c r="M22" s="91"/>
      <c r="N22" s="91"/>
      <c r="O22" s="91"/>
      <c r="P22" s="91"/>
      <c r="R22" s="91"/>
    </row>
    <row r="23" spans="1:18" ht="12.75">
      <c r="A23" s="18">
        <v>16</v>
      </c>
      <c r="B23" s="24" t="s">
        <v>24</v>
      </c>
      <c r="C23" s="20">
        <v>2558500</v>
      </c>
      <c r="D23" s="20">
        <f>-2300-363000-132000</f>
        <v>-497300</v>
      </c>
      <c r="E23" s="22">
        <f t="shared" si="3"/>
        <v>2061200</v>
      </c>
      <c r="F23" s="20"/>
      <c r="G23" s="20">
        <f>2558500-2300-363000-132000</f>
        <v>2061200</v>
      </c>
      <c r="H23" s="27"/>
      <c r="I23" s="91"/>
      <c r="M23" s="91"/>
      <c r="N23" s="91"/>
      <c r="O23" s="91"/>
      <c r="P23" s="91"/>
      <c r="R23" s="91"/>
    </row>
    <row r="24" spans="1:18" ht="12.75">
      <c r="A24" s="18">
        <v>17</v>
      </c>
      <c r="B24" s="24" t="s">
        <v>25</v>
      </c>
      <c r="C24" s="20">
        <v>50000</v>
      </c>
      <c r="D24" s="20"/>
      <c r="E24" s="22">
        <f t="shared" si="3"/>
        <v>50000</v>
      </c>
      <c r="F24" s="20"/>
      <c r="G24" s="20">
        <v>50000</v>
      </c>
      <c r="H24" s="27"/>
      <c r="I24" s="91"/>
      <c r="M24" s="91"/>
      <c r="N24" s="91"/>
      <c r="O24" s="91"/>
      <c r="P24" s="91"/>
      <c r="R24" s="91"/>
    </row>
    <row r="25" spans="1:18" ht="25.5">
      <c r="A25" s="18">
        <v>18</v>
      </c>
      <c r="B25" s="70" t="s">
        <v>26</v>
      </c>
      <c r="C25" s="72">
        <v>0</v>
      </c>
      <c r="D25" s="20"/>
      <c r="E25" s="22">
        <f t="shared" si="3"/>
        <v>0</v>
      </c>
      <c r="F25" s="72"/>
      <c r="G25" s="72">
        <v>0</v>
      </c>
      <c r="H25" s="27"/>
      <c r="I25" s="91"/>
      <c r="M25" s="91"/>
      <c r="N25" s="91"/>
      <c r="O25" s="91"/>
      <c r="P25" s="91"/>
      <c r="R25" s="91"/>
    </row>
    <row r="26" spans="1:18" ht="25.5">
      <c r="A26" s="18">
        <v>19</v>
      </c>
      <c r="B26" s="70" t="s">
        <v>27</v>
      </c>
      <c r="C26" s="72">
        <v>1000</v>
      </c>
      <c r="D26" s="71"/>
      <c r="E26" s="22">
        <f t="shared" si="3"/>
        <v>1000</v>
      </c>
      <c r="F26" s="72"/>
      <c r="G26" s="72">
        <v>1000</v>
      </c>
      <c r="H26" s="27"/>
      <c r="I26" s="91"/>
      <c r="M26" s="91"/>
      <c r="N26" s="91"/>
      <c r="O26" s="91"/>
      <c r="P26" s="91"/>
      <c r="R26" s="91"/>
    </row>
    <row r="27" spans="1:18" ht="25.5">
      <c r="A27" s="18">
        <v>20</v>
      </c>
      <c r="B27" s="70" t="s">
        <v>240</v>
      </c>
      <c r="C27" s="72">
        <v>47600</v>
      </c>
      <c r="D27" s="20"/>
      <c r="E27" s="22">
        <f t="shared" si="3"/>
        <v>47600</v>
      </c>
      <c r="F27" s="72"/>
      <c r="G27" s="72">
        <v>47600</v>
      </c>
      <c r="H27" s="27"/>
      <c r="I27" s="91"/>
      <c r="M27" s="91"/>
      <c r="N27" s="91"/>
      <c r="O27" s="91"/>
      <c r="P27" s="91"/>
      <c r="R27" s="91"/>
    </row>
    <row r="28" spans="1:18" s="17" customFormat="1" ht="12.75">
      <c r="A28" s="18">
        <v>21</v>
      </c>
      <c r="B28" s="70" t="s">
        <v>230</v>
      </c>
      <c r="C28" s="72"/>
      <c r="D28" s="20">
        <v>2300</v>
      </c>
      <c r="E28" s="22">
        <f t="shared" si="3"/>
        <v>2300</v>
      </c>
      <c r="F28" s="72"/>
      <c r="G28" s="72">
        <v>2300</v>
      </c>
      <c r="H28" s="27"/>
      <c r="I28" s="91"/>
      <c r="M28" s="91"/>
      <c r="N28" s="91"/>
      <c r="O28" s="91"/>
      <c r="P28" s="91"/>
      <c r="R28" s="91"/>
    </row>
    <row r="29" spans="1:18" s="29" customFormat="1" ht="12.75">
      <c r="A29" s="28"/>
      <c r="B29" s="15" t="s">
        <v>28</v>
      </c>
      <c r="C29" s="76">
        <f aca="true" t="shared" si="4" ref="C29:H29">SUM(C30:C32)</f>
        <v>5000</v>
      </c>
      <c r="D29" s="76">
        <f t="shared" si="4"/>
        <v>495000</v>
      </c>
      <c r="E29" s="76">
        <f t="shared" si="4"/>
        <v>500000</v>
      </c>
      <c r="F29" s="76">
        <f t="shared" si="4"/>
        <v>0</v>
      </c>
      <c r="G29" s="76">
        <f t="shared" si="4"/>
        <v>500000</v>
      </c>
      <c r="H29" s="76">
        <f t="shared" si="4"/>
        <v>0</v>
      </c>
      <c r="I29" s="91"/>
      <c r="M29" s="91"/>
      <c r="N29" s="91"/>
      <c r="O29" s="91"/>
      <c r="P29" s="91"/>
      <c r="R29" s="91"/>
    </row>
    <row r="30" spans="1:18" ht="12.75">
      <c r="A30" s="18">
        <v>1</v>
      </c>
      <c r="B30" s="24" t="s">
        <v>29</v>
      </c>
      <c r="C30" s="20">
        <v>5000</v>
      </c>
      <c r="D30" s="22"/>
      <c r="E30" s="22">
        <f>C30+D30</f>
        <v>5000</v>
      </c>
      <c r="F30" s="72"/>
      <c r="G30" s="72">
        <v>5000</v>
      </c>
      <c r="H30" s="27"/>
      <c r="I30" s="91"/>
      <c r="M30" s="91"/>
      <c r="N30" s="91"/>
      <c r="O30" s="91"/>
      <c r="P30" s="91"/>
      <c r="R30" s="91"/>
    </row>
    <row r="31" spans="1:18" s="17" customFormat="1" ht="25.5">
      <c r="A31" s="18">
        <v>2</v>
      </c>
      <c r="B31" s="24" t="s">
        <v>231</v>
      </c>
      <c r="C31" s="20"/>
      <c r="D31" s="22">
        <v>363000</v>
      </c>
      <c r="E31" s="22">
        <f>C31+D31</f>
        <v>363000</v>
      </c>
      <c r="F31" s="72"/>
      <c r="G31" s="72">
        <v>363000</v>
      </c>
      <c r="H31" s="27"/>
      <c r="I31" s="91"/>
      <c r="M31" s="91"/>
      <c r="N31" s="91"/>
      <c r="O31" s="91"/>
      <c r="P31" s="91"/>
      <c r="R31" s="91"/>
    </row>
    <row r="32" spans="1:18" s="17" customFormat="1" ht="25.5">
      <c r="A32" s="18">
        <v>3</v>
      </c>
      <c r="B32" s="24" t="s">
        <v>233</v>
      </c>
      <c r="C32" s="20"/>
      <c r="D32" s="22">
        <v>132000</v>
      </c>
      <c r="E32" s="22">
        <f>C32+D32</f>
        <v>132000</v>
      </c>
      <c r="F32" s="72"/>
      <c r="G32" s="72">
        <v>132000</v>
      </c>
      <c r="H32" s="27"/>
      <c r="I32" s="91"/>
      <c r="M32" s="91"/>
      <c r="N32" s="91"/>
      <c r="O32" s="91"/>
      <c r="P32" s="91"/>
      <c r="R32" s="91"/>
    </row>
    <row r="33" spans="1:18" ht="12.75">
      <c r="A33" s="18"/>
      <c r="B33" s="15" t="s">
        <v>30</v>
      </c>
      <c r="C33" s="30">
        <f aca="true" t="shared" si="5" ref="C33:H33">C34+C35+C36+C37+C38</f>
        <v>1676377</v>
      </c>
      <c r="D33" s="30">
        <f t="shared" si="5"/>
        <v>0</v>
      </c>
      <c r="E33" s="30">
        <f t="shared" si="5"/>
        <v>1676377</v>
      </c>
      <c r="F33" s="30">
        <f t="shared" si="5"/>
        <v>0</v>
      </c>
      <c r="G33" s="30">
        <f t="shared" si="5"/>
        <v>1676377</v>
      </c>
      <c r="H33" s="30">
        <f t="shared" si="5"/>
        <v>0</v>
      </c>
      <c r="I33" s="91"/>
      <c r="M33" s="91"/>
      <c r="N33" s="91"/>
      <c r="O33" s="91"/>
      <c r="P33" s="91"/>
      <c r="R33" s="91"/>
    </row>
    <row r="34" spans="1:18" ht="12.75">
      <c r="A34" s="18">
        <v>1</v>
      </c>
      <c r="B34" s="95" t="s">
        <v>31</v>
      </c>
      <c r="C34" s="20">
        <v>1521377</v>
      </c>
      <c r="D34" s="71"/>
      <c r="E34" s="22">
        <f>C34+D34</f>
        <v>1521377</v>
      </c>
      <c r="F34" s="72"/>
      <c r="G34" s="27">
        <v>1521377</v>
      </c>
      <c r="H34" s="27"/>
      <c r="I34" s="91"/>
      <c r="M34" s="91"/>
      <c r="N34" s="91"/>
      <c r="O34" s="91"/>
      <c r="P34" s="91"/>
      <c r="R34" s="91"/>
    </row>
    <row r="35" spans="1:18" ht="12.75">
      <c r="A35" s="18">
        <v>2</v>
      </c>
      <c r="B35" s="95" t="s">
        <v>32</v>
      </c>
      <c r="C35" s="20">
        <v>0</v>
      </c>
      <c r="D35" s="20"/>
      <c r="E35" s="22">
        <f>C35+D35</f>
        <v>0</v>
      </c>
      <c r="F35" s="72"/>
      <c r="G35" s="27">
        <f>155000-155000</f>
        <v>0</v>
      </c>
      <c r="H35" s="27"/>
      <c r="I35" s="91"/>
      <c r="M35" s="91"/>
      <c r="N35" s="91"/>
      <c r="O35" s="91"/>
      <c r="P35" s="91"/>
      <c r="R35" s="91"/>
    </row>
    <row r="36" spans="1:18" ht="38.25">
      <c r="A36" s="18">
        <v>3</v>
      </c>
      <c r="B36" s="95" t="s">
        <v>199</v>
      </c>
      <c r="C36" s="20">
        <v>25918</v>
      </c>
      <c r="D36" s="20"/>
      <c r="E36" s="22">
        <f>C36+D36</f>
        <v>25918</v>
      </c>
      <c r="F36" s="72"/>
      <c r="G36" s="27">
        <v>25918</v>
      </c>
      <c r="H36" s="27"/>
      <c r="I36" s="91"/>
      <c r="M36" s="91"/>
      <c r="N36" s="91"/>
      <c r="O36" s="91"/>
      <c r="P36" s="91"/>
      <c r="R36" s="91"/>
    </row>
    <row r="37" spans="1:18" ht="25.5">
      <c r="A37" s="18">
        <v>4</v>
      </c>
      <c r="B37" s="95" t="s">
        <v>200</v>
      </c>
      <c r="C37" s="20">
        <v>129082</v>
      </c>
      <c r="D37" s="20">
        <v>-2000</v>
      </c>
      <c r="E37" s="22">
        <f>C37+D37</f>
        <v>127082</v>
      </c>
      <c r="F37" s="72"/>
      <c r="G37" s="27">
        <f>129082-2000</f>
        <v>127082</v>
      </c>
      <c r="H37" s="27"/>
      <c r="I37" s="91"/>
      <c r="M37" s="91"/>
      <c r="N37" s="91"/>
      <c r="O37" s="91"/>
      <c r="P37" s="91"/>
      <c r="R37" s="91"/>
    </row>
    <row r="38" spans="1:18" s="17" customFormat="1" ht="12.75">
      <c r="A38" s="18">
        <v>5</v>
      </c>
      <c r="B38" s="95" t="s">
        <v>232</v>
      </c>
      <c r="C38" s="20"/>
      <c r="D38" s="20">
        <v>2000</v>
      </c>
      <c r="E38" s="22">
        <f>C38+D38</f>
        <v>2000</v>
      </c>
      <c r="F38" s="72"/>
      <c r="G38" s="27">
        <v>2000</v>
      </c>
      <c r="H38" s="27"/>
      <c r="I38" s="91"/>
      <c r="M38" s="91"/>
      <c r="N38" s="91"/>
      <c r="O38" s="91"/>
      <c r="P38" s="91"/>
      <c r="R38" s="91"/>
    </row>
    <row r="39" spans="1:18" ht="12.75">
      <c r="A39" s="18"/>
      <c r="B39" s="15" t="s">
        <v>33</v>
      </c>
      <c r="C39" s="30">
        <f aca="true" t="shared" si="6" ref="C39:H39">C40</f>
        <v>2000000</v>
      </c>
      <c r="D39" s="30">
        <f t="shared" si="6"/>
        <v>0</v>
      </c>
      <c r="E39" s="30">
        <f t="shared" si="6"/>
        <v>2000000</v>
      </c>
      <c r="F39" s="30">
        <f t="shared" si="6"/>
        <v>0</v>
      </c>
      <c r="G39" s="30">
        <f t="shared" si="6"/>
        <v>2000000</v>
      </c>
      <c r="H39" s="30">
        <f t="shared" si="6"/>
        <v>0</v>
      </c>
      <c r="I39" s="91"/>
      <c r="M39" s="91"/>
      <c r="N39" s="91"/>
      <c r="O39" s="91"/>
      <c r="P39" s="91"/>
      <c r="R39" s="91"/>
    </row>
    <row r="40" spans="1:18" ht="25.5">
      <c r="A40" s="18">
        <v>1</v>
      </c>
      <c r="B40" s="95" t="s">
        <v>34</v>
      </c>
      <c r="C40" s="20">
        <v>2000000</v>
      </c>
      <c r="D40" s="71"/>
      <c r="E40" s="22">
        <f>C40+D40</f>
        <v>2000000</v>
      </c>
      <c r="F40" s="72"/>
      <c r="G40" s="27">
        <v>2000000</v>
      </c>
      <c r="H40" s="27"/>
      <c r="I40" s="91"/>
      <c r="M40" s="91"/>
      <c r="N40" s="91"/>
      <c r="O40" s="91"/>
      <c r="P40" s="91"/>
      <c r="R40" s="91"/>
    </row>
    <row r="41" spans="1:18" ht="12.75">
      <c r="A41" s="18"/>
      <c r="B41" s="15" t="s">
        <v>35</v>
      </c>
      <c r="C41" s="30">
        <f aca="true" t="shared" si="7" ref="C41:H41">SUM(C42:C46)</f>
        <v>2458110</v>
      </c>
      <c r="D41" s="30">
        <f t="shared" si="7"/>
        <v>0</v>
      </c>
      <c r="E41" s="30">
        <f t="shared" si="7"/>
        <v>2458110</v>
      </c>
      <c r="F41" s="30">
        <f t="shared" si="7"/>
        <v>17000</v>
      </c>
      <c r="G41" s="30">
        <f t="shared" si="7"/>
        <v>2091110</v>
      </c>
      <c r="H41" s="30">
        <f t="shared" si="7"/>
        <v>350000</v>
      </c>
      <c r="I41" s="91"/>
      <c r="M41" s="91"/>
      <c r="N41" s="91"/>
      <c r="O41" s="91"/>
      <c r="P41" s="91"/>
      <c r="R41" s="91"/>
    </row>
    <row r="42" spans="1:18" ht="12.75">
      <c r="A42" s="18">
        <v>1</v>
      </c>
      <c r="B42" s="31" t="s">
        <v>36</v>
      </c>
      <c r="C42" s="27">
        <v>2314030</v>
      </c>
      <c r="D42" s="32"/>
      <c r="E42" s="22">
        <f>C42+D42</f>
        <v>2314030</v>
      </c>
      <c r="F42" s="20"/>
      <c r="G42" s="27">
        <f>1920000+44030</f>
        <v>1964030</v>
      </c>
      <c r="H42" s="27">
        <v>350000</v>
      </c>
      <c r="I42" s="91"/>
      <c r="M42" s="91"/>
      <c r="N42" s="91"/>
      <c r="O42" s="91"/>
      <c r="P42" s="91"/>
      <c r="R42" s="91"/>
    </row>
    <row r="43" spans="1:18" ht="12.75">
      <c r="A43" s="18">
        <v>2</v>
      </c>
      <c r="B43" s="24" t="s">
        <v>37</v>
      </c>
      <c r="C43" s="20">
        <v>41080</v>
      </c>
      <c r="D43" s="22"/>
      <c r="E43" s="22">
        <f>C43+D43</f>
        <v>41080</v>
      </c>
      <c r="F43" s="20"/>
      <c r="G43" s="27">
        <v>41080</v>
      </c>
      <c r="H43" s="27"/>
      <c r="I43" s="91"/>
      <c r="M43" s="91"/>
      <c r="N43" s="91"/>
      <c r="O43" s="91"/>
      <c r="P43" s="91"/>
      <c r="R43" s="91"/>
    </row>
    <row r="44" spans="1:18" ht="12.75">
      <c r="A44" s="18">
        <v>3</v>
      </c>
      <c r="B44" s="70" t="s">
        <v>38</v>
      </c>
      <c r="C44" s="20">
        <v>36000</v>
      </c>
      <c r="D44" s="71"/>
      <c r="E44" s="22">
        <f>C44+D44</f>
        <v>36000</v>
      </c>
      <c r="F44" s="72"/>
      <c r="G44" s="27">
        <v>36000</v>
      </c>
      <c r="H44" s="27"/>
      <c r="I44" s="91"/>
      <c r="M44" s="91"/>
      <c r="N44" s="91"/>
      <c r="O44" s="91"/>
      <c r="P44" s="91"/>
      <c r="R44" s="91"/>
    </row>
    <row r="45" spans="1:18" ht="12.75">
      <c r="A45" s="18">
        <v>4</v>
      </c>
      <c r="B45" s="70" t="s">
        <v>39</v>
      </c>
      <c r="C45" s="20">
        <v>17000</v>
      </c>
      <c r="D45" s="20"/>
      <c r="E45" s="22">
        <f>C45+D45</f>
        <v>17000</v>
      </c>
      <c r="F45" s="72">
        <v>17000</v>
      </c>
      <c r="G45" s="27"/>
      <c r="H45" s="27"/>
      <c r="I45" s="91"/>
      <c r="M45" s="91"/>
      <c r="N45" s="91"/>
      <c r="O45" s="91"/>
      <c r="P45" s="91"/>
      <c r="R45" s="91"/>
    </row>
    <row r="46" spans="1:18" ht="25.5">
      <c r="A46" s="18">
        <v>5</v>
      </c>
      <c r="B46" s="70" t="s">
        <v>26</v>
      </c>
      <c r="C46" s="20">
        <v>50000</v>
      </c>
      <c r="D46" s="20"/>
      <c r="E46" s="22">
        <f>C46+D46</f>
        <v>50000</v>
      </c>
      <c r="F46" s="72"/>
      <c r="G46" s="27">
        <v>50000</v>
      </c>
      <c r="H46" s="27"/>
      <c r="I46" s="91"/>
      <c r="M46" s="91"/>
      <c r="N46" s="91"/>
      <c r="O46" s="91"/>
      <c r="P46" s="91"/>
      <c r="R46" s="91"/>
    </row>
    <row r="47" spans="1:18" ht="12.75">
      <c r="A47" s="18"/>
      <c r="B47" s="15" t="s">
        <v>40</v>
      </c>
      <c r="C47" s="76">
        <f aca="true" t="shared" si="8" ref="C47:H47">SUM(C48:C55)</f>
        <v>15054794</v>
      </c>
      <c r="D47" s="76">
        <f t="shared" si="8"/>
        <v>0</v>
      </c>
      <c r="E47" s="76">
        <f t="shared" si="8"/>
        <v>15054794</v>
      </c>
      <c r="F47" s="76">
        <f t="shared" si="8"/>
        <v>241533</v>
      </c>
      <c r="G47" s="76">
        <f t="shared" si="8"/>
        <v>5212815</v>
      </c>
      <c r="H47" s="76">
        <f t="shared" si="8"/>
        <v>9600446</v>
      </c>
      <c r="I47" s="91"/>
      <c r="M47" s="91"/>
      <c r="N47" s="91"/>
      <c r="O47" s="91"/>
      <c r="P47" s="91"/>
      <c r="R47" s="91"/>
    </row>
    <row r="48" spans="1:18" ht="25.5">
      <c r="A48" s="18">
        <v>1</v>
      </c>
      <c r="B48" s="70" t="s">
        <v>41</v>
      </c>
      <c r="C48" s="20">
        <v>100000</v>
      </c>
      <c r="D48" s="20"/>
      <c r="E48" s="22">
        <f aca="true" t="shared" si="9" ref="E48:E55">C48+D48</f>
        <v>100000</v>
      </c>
      <c r="F48" s="27">
        <v>84033</v>
      </c>
      <c r="G48" s="33">
        <v>15967</v>
      </c>
      <c r="H48" s="27"/>
      <c r="I48" s="91"/>
      <c r="M48" s="91"/>
      <c r="N48" s="91"/>
      <c r="O48" s="91"/>
      <c r="P48" s="91"/>
      <c r="R48" s="91"/>
    </row>
    <row r="49" spans="1:18" ht="38.25">
      <c r="A49" s="18">
        <v>2</v>
      </c>
      <c r="B49" s="70" t="s">
        <v>42</v>
      </c>
      <c r="C49" s="20">
        <v>10581339</v>
      </c>
      <c r="D49" s="71"/>
      <c r="E49" s="22">
        <f t="shared" si="9"/>
        <v>10581339</v>
      </c>
      <c r="F49" s="72"/>
      <c r="G49" s="27">
        <v>980893</v>
      </c>
      <c r="H49" s="27">
        <v>9600446</v>
      </c>
      <c r="I49" s="91"/>
      <c r="M49" s="91"/>
      <c r="N49" s="91"/>
      <c r="O49" s="91"/>
      <c r="P49" s="91"/>
      <c r="R49" s="91"/>
    </row>
    <row r="50" spans="1:18" ht="25.5">
      <c r="A50" s="18">
        <v>3</v>
      </c>
      <c r="B50" s="95" t="s">
        <v>43</v>
      </c>
      <c r="C50" s="20">
        <v>142800</v>
      </c>
      <c r="D50" s="71"/>
      <c r="E50" s="22">
        <f t="shared" si="9"/>
        <v>142800</v>
      </c>
      <c r="F50" s="72">
        <v>87500</v>
      </c>
      <c r="G50" s="27">
        <v>55300</v>
      </c>
      <c r="H50" s="27"/>
      <c r="I50" s="91"/>
      <c r="M50" s="91"/>
      <c r="N50" s="91"/>
      <c r="O50" s="91"/>
      <c r="P50" s="91"/>
      <c r="R50" s="91"/>
    </row>
    <row r="51" spans="1:18" ht="25.5">
      <c r="A51" s="18">
        <v>4</v>
      </c>
      <c r="B51" s="95" t="s">
        <v>44</v>
      </c>
      <c r="C51" s="20">
        <v>200000</v>
      </c>
      <c r="D51" s="71"/>
      <c r="E51" s="22">
        <f t="shared" si="9"/>
        <v>200000</v>
      </c>
      <c r="F51" s="72"/>
      <c r="G51" s="72">
        <v>200000</v>
      </c>
      <c r="H51" s="27"/>
      <c r="I51" s="91"/>
      <c r="M51" s="91"/>
      <c r="N51" s="91"/>
      <c r="O51" s="91"/>
      <c r="P51" s="91"/>
      <c r="R51" s="91"/>
    </row>
    <row r="52" spans="1:18" ht="25.5">
      <c r="A52" s="18">
        <v>5</v>
      </c>
      <c r="B52" s="24" t="s">
        <v>45</v>
      </c>
      <c r="C52" s="20">
        <v>43555</v>
      </c>
      <c r="D52" s="22"/>
      <c r="E52" s="22">
        <f t="shared" si="9"/>
        <v>43555</v>
      </c>
      <c r="F52" s="20"/>
      <c r="G52" s="20">
        <f>41055+2500</f>
        <v>43555</v>
      </c>
      <c r="H52" s="27"/>
      <c r="I52" s="91"/>
      <c r="M52" s="91"/>
      <c r="N52" s="91"/>
      <c r="O52" s="91"/>
      <c r="P52" s="91"/>
      <c r="R52" s="91"/>
    </row>
    <row r="53" spans="1:18" ht="25.5">
      <c r="A53" s="18">
        <v>6</v>
      </c>
      <c r="B53" s="24" t="s">
        <v>46</v>
      </c>
      <c r="C53" s="20">
        <v>17100</v>
      </c>
      <c r="D53" s="22"/>
      <c r="E53" s="22">
        <f t="shared" si="9"/>
        <v>17100</v>
      </c>
      <c r="F53" s="20"/>
      <c r="G53" s="20">
        <v>17100</v>
      </c>
      <c r="H53" s="27"/>
      <c r="I53" s="91"/>
      <c r="M53" s="91"/>
      <c r="N53" s="91"/>
      <c r="O53" s="91"/>
      <c r="P53" s="91"/>
      <c r="R53" s="91"/>
    </row>
    <row r="54" spans="1:18" ht="25.5">
      <c r="A54" s="18">
        <v>7</v>
      </c>
      <c r="B54" s="77" t="s">
        <v>47</v>
      </c>
      <c r="C54" s="79">
        <v>3900000</v>
      </c>
      <c r="D54" s="79"/>
      <c r="E54" s="22">
        <f t="shared" si="9"/>
        <v>3900000</v>
      </c>
      <c r="F54" s="20"/>
      <c r="G54" s="20">
        <f>1500000+2400000</f>
        <v>3900000</v>
      </c>
      <c r="H54" s="27"/>
      <c r="I54" s="91"/>
      <c r="M54" s="91"/>
      <c r="N54" s="91"/>
      <c r="O54" s="91"/>
      <c r="P54" s="91"/>
      <c r="R54" s="91"/>
    </row>
    <row r="55" spans="1:18" ht="12.75">
      <c r="A55" s="18">
        <v>8</v>
      </c>
      <c r="B55" s="77" t="s">
        <v>198</v>
      </c>
      <c r="C55" s="79">
        <v>70000</v>
      </c>
      <c r="D55" s="79"/>
      <c r="E55" s="22">
        <f t="shared" si="9"/>
        <v>70000</v>
      </c>
      <c r="F55" s="20">
        <v>70000</v>
      </c>
      <c r="G55" s="20"/>
      <c r="H55" s="27"/>
      <c r="I55" s="91"/>
      <c r="M55" s="91"/>
      <c r="N55" s="91"/>
      <c r="O55" s="91"/>
      <c r="P55" s="91"/>
      <c r="R55" s="91"/>
    </row>
    <row r="56" spans="1:18" ht="12.75">
      <c r="A56" s="18"/>
      <c r="B56" s="15" t="s">
        <v>48</v>
      </c>
      <c r="C56" s="30">
        <f aca="true" t="shared" si="10" ref="C56:H56">C57</f>
        <v>20000</v>
      </c>
      <c r="D56" s="30">
        <f t="shared" si="10"/>
        <v>0</v>
      </c>
      <c r="E56" s="30">
        <f t="shared" si="10"/>
        <v>20000</v>
      </c>
      <c r="F56" s="30">
        <f t="shared" si="10"/>
        <v>0</v>
      </c>
      <c r="G56" s="30">
        <f t="shared" si="10"/>
        <v>20000</v>
      </c>
      <c r="H56" s="30">
        <f t="shared" si="10"/>
        <v>0</v>
      </c>
      <c r="I56" s="91"/>
      <c r="M56" s="91"/>
      <c r="N56" s="91"/>
      <c r="O56" s="91"/>
      <c r="P56" s="91"/>
      <c r="R56" s="91"/>
    </row>
    <row r="57" spans="1:18" ht="12.75">
      <c r="A57" s="18">
        <v>1</v>
      </c>
      <c r="B57" s="77" t="s">
        <v>49</v>
      </c>
      <c r="C57" s="79">
        <v>20000</v>
      </c>
      <c r="D57" s="80"/>
      <c r="E57" s="22">
        <f>C57+D57</f>
        <v>20000</v>
      </c>
      <c r="F57" s="20"/>
      <c r="G57" s="20">
        <v>20000</v>
      </c>
      <c r="H57" s="27"/>
      <c r="I57" s="91"/>
      <c r="M57" s="91"/>
      <c r="N57" s="91"/>
      <c r="O57" s="91"/>
      <c r="P57" s="91"/>
      <c r="R57" s="91"/>
    </row>
    <row r="58" spans="1:18" ht="25.5">
      <c r="A58" s="34"/>
      <c r="B58" s="35" t="s">
        <v>50</v>
      </c>
      <c r="C58" s="36">
        <f aca="true" t="shared" si="11" ref="C58:H58">SUM(C59:C64)</f>
        <v>120000</v>
      </c>
      <c r="D58" s="36">
        <f t="shared" si="11"/>
        <v>0</v>
      </c>
      <c r="E58" s="36">
        <f t="shared" si="11"/>
        <v>120000</v>
      </c>
      <c r="F58" s="36">
        <f t="shared" si="11"/>
        <v>0</v>
      </c>
      <c r="G58" s="36">
        <f t="shared" si="11"/>
        <v>120000</v>
      </c>
      <c r="H58" s="36">
        <f t="shared" si="11"/>
        <v>0</v>
      </c>
      <c r="I58" s="91"/>
      <c r="M58" s="91"/>
      <c r="N58" s="91"/>
      <c r="O58" s="91"/>
      <c r="P58" s="91"/>
      <c r="R58" s="91"/>
    </row>
    <row r="59" spans="1:18" ht="12.75">
      <c r="A59" s="31">
        <v>1</v>
      </c>
      <c r="B59" s="24" t="s">
        <v>51</v>
      </c>
      <c r="C59" s="20">
        <v>20000</v>
      </c>
      <c r="D59" s="22"/>
      <c r="E59" s="22">
        <f aca="true" t="shared" si="12" ref="E59:E64">C59+D59</f>
        <v>20000</v>
      </c>
      <c r="F59" s="20"/>
      <c r="G59" s="20">
        <v>20000</v>
      </c>
      <c r="H59" s="27"/>
      <c r="I59" s="91"/>
      <c r="M59" s="91"/>
      <c r="N59" s="91"/>
      <c r="O59" s="91"/>
      <c r="P59" s="91"/>
      <c r="R59" s="91"/>
    </row>
    <row r="60" spans="1:18" ht="12.75">
      <c r="A60" s="31">
        <v>2</v>
      </c>
      <c r="B60" s="24" t="s">
        <v>52</v>
      </c>
      <c r="C60" s="20">
        <v>10000</v>
      </c>
      <c r="D60" s="22"/>
      <c r="E60" s="22">
        <f t="shared" si="12"/>
        <v>10000</v>
      </c>
      <c r="F60" s="20"/>
      <c r="G60" s="20">
        <v>10000</v>
      </c>
      <c r="H60" s="27"/>
      <c r="I60" s="91"/>
      <c r="M60" s="91"/>
      <c r="N60" s="91"/>
      <c r="O60" s="91"/>
      <c r="P60" s="91"/>
      <c r="R60" s="91"/>
    </row>
    <row r="61" spans="1:18" ht="12.75">
      <c r="A61" s="31">
        <v>3</v>
      </c>
      <c r="B61" s="24" t="s">
        <v>53</v>
      </c>
      <c r="C61" s="20">
        <v>40000</v>
      </c>
      <c r="D61" s="22"/>
      <c r="E61" s="22">
        <f t="shared" si="12"/>
        <v>40000</v>
      </c>
      <c r="F61" s="20"/>
      <c r="G61" s="20">
        <v>40000</v>
      </c>
      <c r="H61" s="27"/>
      <c r="I61" s="91"/>
      <c r="M61" s="91"/>
      <c r="N61" s="91"/>
      <c r="O61" s="91"/>
      <c r="P61" s="91"/>
      <c r="R61" s="91"/>
    </row>
    <row r="62" spans="1:18" ht="12.75">
      <c r="A62" s="31">
        <v>4</v>
      </c>
      <c r="B62" s="24" t="s">
        <v>54</v>
      </c>
      <c r="C62" s="20">
        <v>0</v>
      </c>
      <c r="D62" s="22"/>
      <c r="E62" s="22">
        <f t="shared" si="12"/>
        <v>0</v>
      </c>
      <c r="F62" s="22"/>
      <c r="G62" s="22">
        <f>50000-50000</f>
        <v>0</v>
      </c>
      <c r="H62" s="23"/>
      <c r="I62" s="91"/>
      <c r="M62" s="91"/>
      <c r="N62" s="91"/>
      <c r="O62" s="91"/>
      <c r="P62" s="91"/>
      <c r="R62" s="91"/>
    </row>
    <row r="63" spans="1:18" ht="12.75">
      <c r="A63" s="31">
        <v>5</v>
      </c>
      <c r="B63" s="24" t="s">
        <v>194</v>
      </c>
      <c r="C63" s="20">
        <v>45000</v>
      </c>
      <c r="D63" s="22"/>
      <c r="E63" s="22">
        <f t="shared" si="12"/>
        <v>45000</v>
      </c>
      <c r="F63" s="22"/>
      <c r="G63" s="22">
        <v>45000</v>
      </c>
      <c r="H63" s="23"/>
      <c r="I63" s="91"/>
      <c r="M63" s="91"/>
      <c r="N63" s="91"/>
      <c r="O63" s="91"/>
      <c r="P63" s="91"/>
      <c r="R63" s="91"/>
    </row>
    <row r="64" spans="1:18" ht="12.75">
      <c r="A64" s="31">
        <v>6</v>
      </c>
      <c r="B64" s="24" t="s">
        <v>195</v>
      </c>
      <c r="C64" s="20">
        <v>5000</v>
      </c>
      <c r="D64" s="22"/>
      <c r="E64" s="22">
        <f t="shared" si="12"/>
        <v>5000</v>
      </c>
      <c r="F64" s="22"/>
      <c r="G64" s="22">
        <v>5000</v>
      </c>
      <c r="H64" s="23"/>
      <c r="I64" s="91"/>
      <c r="M64" s="91"/>
      <c r="N64" s="91"/>
      <c r="O64" s="91"/>
      <c r="P64" s="91"/>
      <c r="R64" s="91"/>
    </row>
    <row r="65" spans="1:18" ht="25.5">
      <c r="A65" s="34"/>
      <c r="B65" s="35" t="s">
        <v>55</v>
      </c>
      <c r="C65" s="37">
        <f aca="true" t="shared" si="13" ref="C65:H65">SUM(C66:C68)</f>
        <v>128060</v>
      </c>
      <c r="D65" s="37">
        <f t="shared" si="13"/>
        <v>0</v>
      </c>
      <c r="E65" s="37">
        <f t="shared" si="13"/>
        <v>128060</v>
      </c>
      <c r="F65" s="37">
        <f t="shared" si="13"/>
        <v>0</v>
      </c>
      <c r="G65" s="37">
        <f t="shared" si="13"/>
        <v>128060</v>
      </c>
      <c r="H65" s="37">
        <f t="shared" si="13"/>
        <v>0</v>
      </c>
      <c r="I65" s="91"/>
      <c r="M65" s="91"/>
      <c r="N65" s="91"/>
      <c r="O65" s="91"/>
      <c r="P65" s="91"/>
      <c r="R65" s="91"/>
    </row>
    <row r="66" spans="1:18" ht="12.75">
      <c r="A66" s="31">
        <v>1</v>
      </c>
      <c r="B66" s="31" t="s">
        <v>56</v>
      </c>
      <c r="C66" s="27">
        <v>114000</v>
      </c>
      <c r="D66" s="32"/>
      <c r="E66" s="22">
        <f>C66+D66</f>
        <v>114000</v>
      </c>
      <c r="F66" s="22"/>
      <c r="G66" s="22">
        <v>114000</v>
      </c>
      <c r="H66" s="23"/>
      <c r="I66" s="91"/>
      <c r="M66" s="91"/>
      <c r="N66" s="91"/>
      <c r="O66" s="91"/>
      <c r="P66" s="91"/>
      <c r="R66" s="91"/>
    </row>
    <row r="67" spans="1:18" ht="12.75">
      <c r="A67" s="31">
        <v>2</v>
      </c>
      <c r="B67" s="31" t="s">
        <v>57</v>
      </c>
      <c r="C67" s="27">
        <v>1900</v>
      </c>
      <c r="D67" s="32"/>
      <c r="E67" s="22">
        <f>C67+D67</f>
        <v>1900</v>
      </c>
      <c r="F67" s="22"/>
      <c r="G67" s="22">
        <v>1900</v>
      </c>
      <c r="H67" s="23"/>
      <c r="I67" s="91"/>
      <c r="M67" s="91"/>
      <c r="N67" s="91"/>
      <c r="O67" s="91"/>
      <c r="P67" s="91"/>
      <c r="R67" s="91"/>
    </row>
    <row r="68" spans="1:18" ht="12.75">
      <c r="A68" s="31">
        <v>3</v>
      </c>
      <c r="B68" s="31" t="s">
        <v>58</v>
      </c>
      <c r="C68" s="27">
        <v>12160</v>
      </c>
      <c r="D68" s="32"/>
      <c r="E68" s="22">
        <f>C68+D68</f>
        <v>12160</v>
      </c>
      <c r="F68" s="22"/>
      <c r="G68" s="22">
        <v>12160</v>
      </c>
      <c r="H68" s="23"/>
      <c r="I68" s="91"/>
      <c r="M68" s="91"/>
      <c r="N68" s="91"/>
      <c r="O68" s="91"/>
      <c r="P68" s="91"/>
      <c r="R68" s="91"/>
    </row>
    <row r="69" spans="1:18" ht="38.25">
      <c r="A69" s="38"/>
      <c r="B69" s="39" t="s">
        <v>59</v>
      </c>
      <c r="C69" s="40">
        <f aca="true" t="shared" si="14" ref="C69:H69">SUM(C70:C71)</f>
        <v>640000</v>
      </c>
      <c r="D69" s="40">
        <f t="shared" si="14"/>
        <v>0</v>
      </c>
      <c r="E69" s="40">
        <f t="shared" si="14"/>
        <v>640000</v>
      </c>
      <c r="F69" s="40">
        <f t="shared" si="14"/>
        <v>0</v>
      </c>
      <c r="G69" s="40">
        <f t="shared" si="14"/>
        <v>640000</v>
      </c>
      <c r="H69" s="40">
        <f t="shared" si="14"/>
        <v>0</v>
      </c>
      <c r="I69" s="91"/>
      <c r="M69" s="91"/>
      <c r="N69" s="91"/>
      <c r="O69" s="91"/>
      <c r="P69" s="91"/>
      <c r="R69" s="91"/>
    </row>
    <row r="70" spans="1:18" ht="12.75">
      <c r="A70" s="31">
        <v>1</v>
      </c>
      <c r="B70" s="24" t="s">
        <v>60</v>
      </c>
      <c r="C70" s="20">
        <v>600000</v>
      </c>
      <c r="D70" s="22"/>
      <c r="E70" s="22">
        <f>C70+D70</f>
        <v>600000</v>
      </c>
      <c r="F70" s="22"/>
      <c r="G70" s="22">
        <v>600000</v>
      </c>
      <c r="H70" s="23"/>
      <c r="I70" s="91"/>
      <c r="M70" s="91"/>
      <c r="N70" s="91"/>
      <c r="O70" s="91"/>
      <c r="P70" s="91"/>
      <c r="R70" s="91"/>
    </row>
    <row r="71" spans="1:18" ht="12.75">
      <c r="A71" s="31">
        <v>2</v>
      </c>
      <c r="B71" s="24" t="s">
        <v>61</v>
      </c>
      <c r="C71" s="20">
        <v>40000</v>
      </c>
      <c r="D71" s="22"/>
      <c r="E71" s="22">
        <f>C71+D71</f>
        <v>40000</v>
      </c>
      <c r="F71" s="22"/>
      <c r="G71" s="22">
        <v>40000</v>
      </c>
      <c r="H71" s="23"/>
      <c r="I71" s="91"/>
      <c r="M71" s="91"/>
      <c r="N71" s="91"/>
      <c r="O71" s="91"/>
      <c r="P71" s="91"/>
      <c r="R71" s="91"/>
    </row>
    <row r="72" spans="1:18" ht="38.25">
      <c r="A72" s="38"/>
      <c r="B72" s="39" t="s">
        <v>62</v>
      </c>
      <c r="C72" s="40">
        <f aca="true" t="shared" si="15" ref="C72:H72">SUM(C73:C74)</f>
        <v>25000</v>
      </c>
      <c r="D72" s="40">
        <f t="shared" si="15"/>
        <v>0</v>
      </c>
      <c r="E72" s="40">
        <f t="shared" si="15"/>
        <v>25000</v>
      </c>
      <c r="F72" s="40">
        <f t="shared" si="15"/>
        <v>10000</v>
      </c>
      <c r="G72" s="40">
        <f t="shared" si="15"/>
        <v>15000</v>
      </c>
      <c r="H72" s="40">
        <f t="shared" si="15"/>
        <v>0</v>
      </c>
      <c r="I72" s="91"/>
      <c r="M72" s="91"/>
      <c r="N72" s="91"/>
      <c r="O72" s="91"/>
      <c r="P72" s="91"/>
      <c r="R72" s="91"/>
    </row>
    <row r="73" spans="1:18" ht="12.75">
      <c r="A73" s="31">
        <v>1</v>
      </c>
      <c r="B73" s="24" t="s">
        <v>63</v>
      </c>
      <c r="C73" s="20">
        <v>15000</v>
      </c>
      <c r="D73" s="22"/>
      <c r="E73" s="22">
        <f>C73+D73</f>
        <v>15000</v>
      </c>
      <c r="F73" s="22"/>
      <c r="G73" s="22">
        <v>15000</v>
      </c>
      <c r="H73" s="23"/>
      <c r="I73" s="91"/>
      <c r="M73" s="91"/>
      <c r="N73" s="91"/>
      <c r="O73" s="91"/>
      <c r="P73" s="91"/>
      <c r="R73" s="91"/>
    </row>
    <row r="74" spans="1:18" ht="12.75">
      <c r="A74" s="31">
        <v>2</v>
      </c>
      <c r="B74" s="24" t="s">
        <v>196</v>
      </c>
      <c r="C74" s="20">
        <v>10000</v>
      </c>
      <c r="D74" s="22"/>
      <c r="E74" s="22">
        <f>C74+D74</f>
        <v>10000</v>
      </c>
      <c r="F74" s="22">
        <v>10000</v>
      </c>
      <c r="G74" s="22"/>
      <c r="H74" s="23"/>
      <c r="I74" s="91"/>
      <c r="M74" s="91"/>
      <c r="N74" s="91"/>
      <c r="O74" s="91"/>
      <c r="P74" s="91"/>
      <c r="R74" s="91"/>
    </row>
    <row r="75" spans="1:18" ht="38.25">
      <c r="A75" s="38"/>
      <c r="B75" s="39" t="s">
        <v>64</v>
      </c>
      <c r="C75" s="40">
        <f aca="true" t="shared" si="16" ref="C75:H75">SUM(C76)</f>
        <v>10000</v>
      </c>
      <c r="D75" s="40">
        <f t="shared" si="16"/>
        <v>0</v>
      </c>
      <c r="E75" s="40">
        <f t="shared" si="16"/>
        <v>10000</v>
      </c>
      <c r="F75" s="40">
        <f t="shared" si="16"/>
        <v>0</v>
      </c>
      <c r="G75" s="40">
        <f t="shared" si="16"/>
        <v>10000</v>
      </c>
      <c r="H75" s="40">
        <f t="shared" si="16"/>
        <v>0</v>
      </c>
      <c r="I75" s="91"/>
      <c r="M75" s="91"/>
      <c r="N75" s="91"/>
      <c r="O75" s="91"/>
      <c r="P75" s="91"/>
      <c r="R75" s="91"/>
    </row>
    <row r="76" spans="1:18" ht="12.75">
      <c r="A76" s="31">
        <v>1</v>
      </c>
      <c r="B76" s="41" t="s">
        <v>65</v>
      </c>
      <c r="C76" s="42">
        <v>10000</v>
      </c>
      <c r="D76" s="43"/>
      <c r="E76" s="22">
        <f>C76+D76</f>
        <v>10000</v>
      </c>
      <c r="F76" s="22"/>
      <c r="G76" s="22">
        <v>10000</v>
      </c>
      <c r="H76" s="23"/>
      <c r="I76" s="91"/>
      <c r="M76" s="91"/>
      <c r="N76" s="91"/>
      <c r="O76" s="91"/>
      <c r="P76" s="91"/>
      <c r="R76" s="91"/>
    </row>
    <row r="77" spans="1:18" ht="25.5">
      <c r="A77" s="44"/>
      <c r="B77" s="39" t="s">
        <v>66</v>
      </c>
      <c r="C77" s="40">
        <f aca="true" t="shared" si="17" ref="C77:H77">C78+C87+C95+C105+C132+C135+C137</f>
        <v>5641900</v>
      </c>
      <c r="D77" s="40">
        <f t="shared" si="17"/>
        <v>0</v>
      </c>
      <c r="E77" s="40">
        <f t="shared" si="17"/>
        <v>5641900</v>
      </c>
      <c r="F77" s="40">
        <f t="shared" si="17"/>
        <v>2500</v>
      </c>
      <c r="G77" s="40">
        <f t="shared" si="17"/>
        <v>5639400</v>
      </c>
      <c r="H77" s="40">
        <f t="shared" si="17"/>
        <v>0</v>
      </c>
      <c r="I77" s="91"/>
      <c r="M77" s="91"/>
      <c r="N77" s="91"/>
      <c r="O77" s="91"/>
      <c r="P77" s="91"/>
      <c r="R77" s="91"/>
    </row>
    <row r="78" spans="1:18" ht="25.5">
      <c r="A78" s="45"/>
      <c r="B78" s="46" t="s">
        <v>67</v>
      </c>
      <c r="C78" s="48">
        <f aca="true" t="shared" si="18" ref="C78:H78">SUM(C79:C86)</f>
        <v>1283900</v>
      </c>
      <c r="D78" s="48">
        <f t="shared" si="18"/>
        <v>0</v>
      </c>
      <c r="E78" s="48">
        <f t="shared" si="18"/>
        <v>1283900</v>
      </c>
      <c r="F78" s="48">
        <f t="shared" si="18"/>
        <v>0</v>
      </c>
      <c r="G78" s="48">
        <f t="shared" si="18"/>
        <v>1283900</v>
      </c>
      <c r="H78" s="48">
        <f t="shared" si="18"/>
        <v>0</v>
      </c>
      <c r="I78" s="91"/>
      <c r="M78" s="91"/>
      <c r="N78" s="91"/>
      <c r="O78" s="91"/>
      <c r="P78" s="91"/>
      <c r="R78" s="91"/>
    </row>
    <row r="79" spans="1:18" ht="12.75">
      <c r="A79" s="49">
        <v>1</v>
      </c>
      <c r="B79" s="50" t="s">
        <v>68</v>
      </c>
      <c r="C79" s="51">
        <v>35000</v>
      </c>
      <c r="D79" s="52"/>
      <c r="E79" s="22">
        <f aca="true" t="shared" si="19" ref="E79:E86">C79+D79</f>
        <v>35000</v>
      </c>
      <c r="F79" s="53"/>
      <c r="G79" s="53">
        <v>35000</v>
      </c>
      <c r="H79" s="23"/>
      <c r="I79" s="91"/>
      <c r="M79" s="91"/>
      <c r="N79" s="91"/>
      <c r="O79" s="91"/>
      <c r="P79" s="91"/>
      <c r="R79" s="91"/>
    </row>
    <row r="80" spans="1:18" ht="12.75">
      <c r="A80" s="49">
        <v>2</v>
      </c>
      <c r="B80" s="50" t="s">
        <v>69</v>
      </c>
      <c r="C80" s="51">
        <v>120000</v>
      </c>
      <c r="D80" s="52"/>
      <c r="E80" s="22">
        <f t="shared" si="19"/>
        <v>120000</v>
      </c>
      <c r="F80" s="53"/>
      <c r="G80" s="53">
        <v>120000</v>
      </c>
      <c r="H80" s="23"/>
      <c r="I80" s="91"/>
      <c r="M80" s="91"/>
      <c r="N80" s="91"/>
      <c r="O80" s="91"/>
      <c r="P80" s="91"/>
      <c r="R80" s="91"/>
    </row>
    <row r="81" spans="1:18" ht="12.75">
      <c r="A81" s="49">
        <v>3</v>
      </c>
      <c r="B81" s="54" t="s">
        <v>70</v>
      </c>
      <c r="C81" s="51">
        <v>2500</v>
      </c>
      <c r="D81" s="55"/>
      <c r="E81" s="22">
        <f t="shared" si="19"/>
        <v>2500</v>
      </c>
      <c r="F81" s="53"/>
      <c r="G81" s="53">
        <v>2500</v>
      </c>
      <c r="H81" s="23"/>
      <c r="I81" s="91"/>
      <c r="M81" s="91"/>
      <c r="N81" s="91"/>
      <c r="O81" s="91"/>
      <c r="P81" s="91"/>
      <c r="R81" s="91"/>
    </row>
    <row r="82" spans="1:18" ht="12.75">
      <c r="A82" s="49">
        <v>4</v>
      </c>
      <c r="B82" s="56" t="s">
        <v>71</v>
      </c>
      <c r="C82" s="27">
        <v>2500</v>
      </c>
      <c r="D82" s="57"/>
      <c r="E82" s="22">
        <f t="shared" si="19"/>
        <v>2500</v>
      </c>
      <c r="F82" s="53"/>
      <c r="G82" s="53">
        <v>2500</v>
      </c>
      <c r="H82" s="23"/>
      <c r="I82" s="91"/>
      <c r="M82" s="91"/>
      <c r="N82" s="91"/>
      <c r="O82" s="91"/>
      <c r="P82" s="91"/>
      <c r="R82" s="91"/>
    </row>
    <row r="83" spans="1:18" ht="25.5">
      <c r="A83" s="49">
        <v>5</v>
      </c>
      <c r="B83" s="50" t="s">
        <v>72</v>
      </c>
      <c r="C83" s="51">
        <v>998900</v>
      </c>
      <c r="D83" s="52"/>
      <c r="E83" s="22">
        <f t="shared" si="19"/>
        <v>998900</v>
      </c>
      <c r="F83" s="53"/>
      <c r="G83" s="53">
        <v>998900</v>
      </c>
      <c r="H83" s="23"/>
      <c r="I83" s="91"/>
      <c r="M83" s="91"/>
      <c r="N83" s="91"/>
      <c r="O83" s="91"/>
      <c r="P83" s="91"/>
      <c r="R83" s="91"/>
    </row>
    <row r="84" spans="1:18" ht="12.75">
      <c r="A84" s="49">
        <v>6</v>
      </c>
      <c r="B84" s="50" t="s">
        <v>73</v>
      </c>
      <c r="C84" s="51">
        <v>5000</v>
      </c>
      <c r="D84" s="52"/>
      <c r="E84" s="22">
        <f t="shared" si="19"/>
        <v>5000</v>
      </c>
      <c r="F84" s="53"/>
      <c r="G84" s="53">
        <v>5000</v>
      </c>
      <c r="H84" s="23"/>
      <c r="I84" s="91"/>
      <c r="M84" s="91"/>
      <c r="N84" s="91"/>
      <c r="O84" s="91"/>
      <c r="P84" s="91"/>
      <c r="R84" s="91"/>
    </row>
    <row r="85" spans="1:18" ht="12.75">
      <c r="A85" s="49">
        <v>7</v>
      </c>
      <c r="B85" s="50" t="s">
        <v>74</v>
      </c>
      <c r="C85" s="51">
        <v>50000</v>
      </c>
      <c r="D85" s="52"/>
      <c r="E85" s="22">
        <f t="shared" si="19"/>
        <v>50000</v>
      </c>
      <c r="F85" s="53"/>
      <c r="G85" s="53">
        <v>50000</v>
      </c>
      <c r="H85" s="23"/>
      <c r="I85" s="91"/>
      <c r="M85" s="91"/>
      <c r="N85" s="91"/>
      <c r="O85" s="91"/>
      <c r="P85" s="91"/>
      <c r="R85" s="91"/>
    </row>
    <row r="86" spans="1:18" ht="12.75">
      <c r="A86" s="49">
        <v>8</v>
      </c>
      <c r="B86" s="50" t="s">
        <v>202</v>
      </c>
      <c r="C86" s="51">
        <v>70000</v>
      </c>
      <c r="D86" s="52"/>
      <c r="E86" s="22">
        <f t="shared" si="19"/>
        <v>70000</v>
      </c>
      <c r="F86" s="53"/>
      <c r="G86" s="53">
        <v>70000</v>
      </c>
      <c r="H86" s="23"/>
      <c r="I86" s="91"/>
      <c r="M86" s="91"/>
      <c r="N86" s="91"/>
      <c r="O86" s="91"/>
      <c r="P86" s="91"/>
      <c r="R86" s="91"/>
    </row>
    <row r="87" spans="1:18" ht="25.5">
      <c r="A87" s="58"/>
      <c r="B87" s="46" t="s">
        <v>75</v>
      </c>
      <c r="C87" s="47">
        <f aca="true" t="shared" si="20" ref="C87:H87">SUM(C88:C94)</f>
        <v>1075000</v>
      </c>
      <c r="D87" s="47">
        <f t="shared" si="20"/>
        <v>0</v>
      </c>
      <c r="E87" s="47">
        <f t="shared" si="20"/>
        <v>1075000</v>
      </c>
      <c r="F87" s="47">
        <f t="shared" si="20"/>
        <v>0</v>
      </c>
      <c r="G87" s="47">
        <f t="shared" si="20"/>
        <v>1075000</v>
      </c>
      <c r="H87" s="47">
        <f t="shared" si="20"/>
        <v>0</v>
      </c>
      <c r="I87" s="91"/>
      <c r="M87" s="91"/>
      <c r="N87" s="91"/>
      <c r="O87" s="91"/>
      <c r="P87" s="91"/>
      <c r="R87" s="91"/>
    </row>
    <row r="88" spans="1:18" ht="25.5">
      <c r="A88" s="31">
        <v>1</v>
      </c>
      <c r="B88" s="41" t="s">
        <v>76</v>
      </c>
      <c r="C88" s="42">
        <v>740000</v>
      </c>
      <c r="D88" s="43"/>
      <c r="E88" s="22">
        <f aca="true" t="shared" si="21" ref="E88:E94">C88+D88</f>
        <v>740000</v>
      </c>
      <c r="F88" s="22"/>
      <c r="G88" s="22">
        <v>740000</v>
      </c>
      <c r="H88" s="23"/>
      <c r="I88" s="91"/>
      <c r="M88" s="91"/>
      <c r="N88" s="91"/>
      <c r="O88" s="91"/>
      <c r="P88" s="91"/>
      <c r="R88" s="91"/>
    </row>
    <row r="89" spans="1:18" ht="38.25">
      <c r="A89" s="31">
        <v>2</v>
      </c>
      <c r="B89" s="41" t="s">
        <v>77</v>
      </c>
      <c r="C89" s="42">
        <v>220000</v>
      </c>
      <c r="D89" s="43"/>
      <c r="E89" s="22">
        <f t="shared" si="21"/>
        <v>220000</v>
      </c>
      <c r="F89" s="22"/>
      <c r="G89" s="22">
        <v>220000</v>
      </c>
      <c r="H89" s="23"/>
      <c r="I89" s="91"/>
      <c r="M89" s="91"/>
      <c r="N89" s="91"/>
      <c r="O89" s="91"/>
      <c r="P89" s="91"/>
      <c r="R89" s="91"/>
    </row>
    <row r="90" spans="1:18" ht="12.75">
      <c r="A90" s="31">
        <v>3</v>
      </c>
      <c r="B90" s="41" t="s">
        <v>78</v>
      </c>
      <c r="C90" s="42">
        <v>45000</v>
      </c>
      <c r="D90" s="43"/>
      <c r="E90" s="22">
        <f t="shared" si="21"/>
        <v>45000</v>
      </c>
      <c r="F90" s="22"/>
      <c r="G90" s="22">
        <v>45000</v>
      </c>
      <c r="H90" s="23"/>
      <c r="I90" s="91"/>
      <c r="M90" s="91"/>
      <c r="N90" s="91"/>
      <c r="O90" s="91"/>
      <c r="P90" s="91"/>
      <c r="R90" s="91"/>
    </row>
    <row r="91" spans="1:18" ht="12.75">
      <c r="A91" s="31">
        <v>4</v>
      </c>
      <c r="B91" s="41" t="s">
        <v>79</v>
      </c>
      <c r="C91" s="42">
        <v>15000</v>
      </c>
      <c r="D91" s="43"/>
      <c r="E91" s="22">
        <f t="shared" si="21"/>
        <v>15000</v>
      </c>
      <c r="F91" s="22"/>
      <c r="G91" s="22">
        <v>15000</v>
      </c>
      <c r="H91" s="23"/>
      <c r="I91" s="91"/>
      <c r="M91" s="91"/>
      <c r="N91" s="91"/>
      <c r="O91" s="91"/>
      <c r="P91" s="91"/>
      <c r="R91" s="91"/>
    </row>
    <row r="92" spans="1:18" ht="12.75">
      <c r="A92" s="31">
        <v>5</v>
      </c>
      <c r="B92" s="41" t="s">
        <v>80</v>
      </c>
      <c r="C92" s="42">
        <v>15000</v>
      </c>
      <c r="D92" s="43">
        <v>-15000</v>
      </c>
      <c r="E92" s="22">
        <f t="shared" si="21"/>
        <v>0</v>
      </c>
      <c r="F92" s="22"/>
      <c r="G92" s="22">
        <f>15000-15000</f>
        <v>0</v>
      </c>
      <c r="H92" s="23"/>
      <c r="I92" s="91"/>
      <c r="M92" s="91"/>
      <c r="N92" s="91"/>
      <c r="O92" s="91"/>
      <c r="P92" s="91"/>
      <c r="R92" s="91"/>
    </row>
    <row r="93" spans="1:18" ht="38.25">
      <c r="A93" s="31">
        <v>6</v>
      </c>
      <c r="B93" s="41" t="s">
        <v>81</v>
      </c>
      <c r="C93" s="42">
        <v>40000</v>
      </c>
      <c r="D93" s="43"/>
      <c r="E93" s="22">
        <f t="shared" si="21"/>
        <v>40000</v>
      </c>
      <c r="F93" s="22"/>
      <c r="G93" s="22">
        <v>40000</v>
      </c>
      <c r="H93" s="23"/>
      <c r="I93" s="91"/>
      <c r="M93" s="91"/>
      <c r="N93" s="91"/>
      <c r="O93" s="91"/>
      <c r="P93" s="91"/>
      <c r="R93" s="91"/>
    </row>
    <row r="94" spans="1:18" s="17" customFormat="1" ht="12.75">
      <c r="A94" s="31">
        <v>7</v>
      </c>
      <c r="B94" s="41" t="s">
        <v>222</v>
      </c>
      <c r="C94" s="42"/>
      <c r="D94" s="43">
        <v>15000</v>
      </c>
      <c r="E94" s="22">
        <f t="shared" si="21"/>
        <v>15000</v>
      </c>
      <c r="F94" s="22"/>
      <c r="G94" s="22">
        <v>15000</v>
      </c>
      <c r="H94" s="23"/>
      <c r="I94" s="91"/>
      <c r="M94" s="91"/>
      <c r="N94" s="91"/>
      <c r="O94" s="91"/>
      <c r="P94" s="91"/>
      <c r="R94" s="91"/>
    </row>
    <row r="95" spans="1:18" ht="12.75">
      <c r="A95" s="45"/>
      <c r="B95" s="46" t="s">
        <v>82</v>
      </c>
      <c r="C95" s="48">
        <f aca="true" t="shared" si="22" ref="C95:H95">SUM(C96:C104)</f>
        <v>1233000</v>
      </c>
      <c r="D95" s="48">
        <f t="shared" si="22"/>
        <v>0</v>
      </c>
      <c r="E95" s="48">
        <f t="shared" si="22"/>
        <v>1233000</v>
      </c>
      <c r="F95" s="48">
        <f t="shared" si="22"/>
        <v>0</v>
      </c>
      <c r="G95" s="48">
        <f t="shared" si="22"/>
        <v>1233000</v>
      </c>
      <c r="H95" s="48">
        <f t="shared" si="22"/>
        <v>0</v>
      </c>
      <c r="I95" s="91"/>
      <c r="M95" s="91"/>
      <c r="N95" s="91"/>
      <c r="O95" s="91"/>
      <c r="P95" s="91"/>
      <c r="R95" s="91"/>
    </row>
    <row r="96" spans="1:18" ht="12.75">
      <c r="A96" s="31">
        <v>1</v>
      </c>
      <c r="B96" s="24" t="s">
        <v>83</v>
      </c>
      <c r="C96" s="20">
        <v>35000</v>
      </c>
      <c r="D96" s="22"/>
      <c r="E96" s="22">
        <f aca="true" t="shared" si="23" ref="E96:E104">C96+D96</f>
        <v>35000</v>
      </c>
      <c r="F96" s="22"/>
      <c r="G96" s="22">
        <v>35000</v>
      </c>
      <c r="H96" s="23"/>
      <c r="I96" s="91"/>
      <c r="M96" s="91"/>
      <c r="N96" s="91"/>
      <c r="O96" s="91"/>
      <c r="P96" s="91"/>
      <c r="R96" s="91"/>
    </row>
    <row r="97" spans="1:18" ht="12.75">
      <c r="A97" s="31">
        <v>2</v>
      </c>
      <c r="B97" s="50" t="s">
        <v>84</v>
      </c>
      <c r="C97" s="51">
        <v>250000</v>
      </c>
      <c r="D97" s="52"/>
      <c r="E97" s="22">
        <f t="shared" si="23"/>
        <v>250000</v>
      </c>
      <c r="F97" s="53"/>
      <c r="G97" s="53">
        <v>250000</v>
      </c>
      <c r="H97" s="23"/>
      <c r="I97" s="91"/>
      <c r="M97" s="91"/>
      <c r="N97" s="91"/>
      <c r="O97" s="91"/>
      <c r="P97" s="91"/>
      <c r="R97" s="91"/>
    </row>
    <row r="98" spans="1:18" ht="12.75">
      <c r="A98" s="31">
        <v>3</v>
      </c>
      <c r="B98" s="24" t="s">
        <v>85</v>
      </c>
      <c r="C98" s="20">
        <v>90000</v>
      </c>
      <c r="D98" s="22"/>
      <c r="E98" s="22">
        <f t="shared" si="23"/>
        <v>90000</v>
      </c>
      <c r="F98" s="22"/>
      <c r="G98" s="22">
        <v>90000</v>
      </c>
      <c r="H98" s="23"/>
      <c r="I98" s="91"/>
      <c r="M98" s="91"/>
      <c r="N98" s="91"/>
      <c r="O98" s="91"/>
      <c r="P98" s="91"/>
      <c r="R98" s="91"/>
    </row>
    <row r="99" spans="1:18" ht="12.75">
      <c r="A99" s="31">
        <v>4</v>
      </c>
      <c r="B99" s="24" t="s">
        <v>86</v>
      </c>
      <c r="C99" s="20">
        <v>103000</v>
      </c>
      <c r="D99" s="22"/>
      <c r="E99" s="22">
        <f t="shared" si="23"/>
        <v>103000</v>
      </c>
      <c r="F99" s="22"/>
      <c r="G99" s="22">
        <v>103000</v>
      </c>
      <c r="H99" s="23"/>
      <c r="I99" s="91"/>
      <c r="M99" s="91"/>
      <c r="N99" s="91"/>
      <c r="O99" s="91"/>
      <c r="P99" s="91"/>
      <c r="R99" s="91"/>
    </row>
    <row r="100" spans="1:18" ht="25.5">
      <c r="A100" s="31">
        <v>5</v>
      </c>
      <c r="B100" s="24" t="s">
        <v>87</v>
      </c>
      <c r="C100" s="20">
        <v>80000</v>
      </c>
      <c r="D100" s="22"/>
      <c r="E100" s="22">
        <f t="shared" si="23"/>
        <v>80000</v>
      </c>
      <c r="F100" s="22"/>
      <c r="G100" s="22">
        <v>80000</v>
      </c>
      <c r="H100" s="23"/>
      <c r="I100" s="91"/>
      <c r="M100" s="91"/>
      <c r="N100" s="91"/>
      <c r="O100" s="91"/>
      <c r="P100" s="91"/>
      <c r="R100" s="91"/>
    </row>
    <row r="101" spans="1:18" ht="12.75">
      <c r="A101" s="31">
        <v>6</v>
      </c>
      <c r="B101" s="24" t="s">
        <v>88</v>
      </c>
      <c r="C101" s="20">
        <v>300000</v>
      </c>
      <c r="D101" s="22"/>
      <c r="E101" s="22">
        <f t="shared" si="23"/>
        <v>300000</v>
      </c>
      <c r="F101" s="22"/>
      <c r="G101" s="22">
        <v>300000</v>
      </c>
      <c r="H101" s="23"/>
      <c r="I101" s="91"/>
      <c r="M101" s="91"/>
      <c r="N101" s="91"/>
      <c r="O101" s="91"/>
      <c r="P101" s="91"/>
      <c r="R101" s="91"/>
    </row>
    <row r="102" spans="1:18" ht="25.5">
      <c r="A102" s="31">
        <v>7</v>
      </c>
      <c r="B102" s="24" t="s">
        <v>89</v>
      </c>
      <c r="C102" s="20">
        <v>200000</v>
      </c>
      <c r="D102" s="22"/>
      <c r="E102" s="22">
        <f t="shared" si="23"/>
        <v>200000</v>
      </c>
      <c r="F102" s="22"/>
      <c r="G102" s="22">
        <v>200000</v>
      </c>
      <c r="H102" s="23"/>
      <c r="I102" s="91"/>
      <c r="M102" s="91"/>
      <c r="N102" s="91"/>
      <c r="O102" s="91"/>
      <c r="P102" s="91"/>
      <c r="R102" s="91"/>
    </row>
    <row r="103" spans="1:18" ht="25.5">
      <c r="A103" s="31">
        <v>8</v>
      </c>
      <c r="B103" s="24" t="s">
        <v>90</v>
      </c>
      <c r="C103" s="20">
        <v>25000</v>
      </c>
      <c r="D103" s="22"/>
      <c r="E103" s="22">
        <f t="shared" si="23"/>
        <v>25000</v>
      </c>
      <c r="F103" s="22"/>
      <c r="G103" s="22">
        <v>25000</v>
      </c>
      <c r="H103" s="23"/>
      <c r="I103" s="91"/>
      <c r="M103" s="91"/>
      <c r="N103" s="91"/>
      <c r="O103" s="91"/>
      <c r="P103" s="91"/>
      <c r="R103" s="91"/>
    </row>
    <row r="104" spans="1:18" ht="12.75">
      <c r="A104" s="31">
        <v>9</v>
      </c>
      <c r="B104" s="24" t="s">
        <v>91</v>
      </c>
      <c r="C104" s="20">
        <v>150000</v>
      </c>
      <c r="D104" s="22"/>
      <c r="E104" s="22">
        <f t="shared" si="23"/>
        <v>150000</v>
      </c>
      <c r="F104" s="22"/>
      <c r="G104" s="22">
        <v>150000</v>
      </c>
      <c r="H104" s="23"/>
      <c r="I104" s="91"/>
      <c r="M104" s="91"/>
      <c r="N104" s="91"/>
      <c r="O104" s="91"/>
      <c r="P104" s="91"/>
      <c r="R104" s="91"/>
    </row>
    <row r="105" spans="1:18" ht="25.5">
      <c r="A105" s="45"/>
      <c r="B105" s="46" t="s">
        <v>92</v>
      </c>
      <c r="C105" s="48">
        <f aca="true" t="shared" si="24" ref="C105:H105">C106+C107+C109+C112+C115+C117+C121+C122+C125+C126+C127+C128+C129+C130+C131</f>
        <v>977500</v>
      </c>
      <c r="D105" s="48">
        <f t="shared" si="24"/>
        <v>0</v>
      </c>
      <c r="E105" s="48">
        <f t="shared" si="24"/>
        <v>977500</v>
      </c>
      <c r="F105" s="48">
        <f t="shared" si="24"/>
        <v>0</v>
      </c>
      <c r="G105" s="48">
        <f t="shared" si="24"/>
        <v>977500</v>
      </c>
      <c r="H105" s="48">
        <f t="shared" si="24"/>
        <v>0</v>
      </c>
      <c r="I105" s="91"/>
      <c r="M105" s="91"/>
      <c r="N105" s="91"/>
      <c r="O105" s="91"/>
      <c r="P105" s="91"/>
      <c r="R105" s="91"/>
    </row>
    <row r="106" spans="1:18" ht="25.5">
      <c r="A106" s="31">
        <v>1</v>
      </c>
      <c r="B106" s="24" t="s">
        <v>93</v>
      </c>
      <c r="C106" s="20">
        <v>50000</v>
      </c>
      <c r="D106" s="22"/>
      <c r="E106" s="22">
        <f>C106+D106</f>
        <v>50000</v>
      </c>
      <c r="F106" s="22"/>
      <c r="G106" s="22">
        <v>50000</v>
      </c>
      <c r="H106" s="23"/>
      <c r="I106" s="91"/>
      <c r="M106" s="91"/>
      <c r="N106" s="91"/>
      <c r="O106" s="91"/>
      <c r="P106" s="91"/>
      <c r="R106" s="91"/>
    </row>
    <row r="107" spans="1:18" s="29" customFormat="1" ht="12.75">
      <c r="A107" s="103">
        <v>2</v>
      </c>
      <c r="B107" s="59" t="s">
        <v>94</v>
      </c>
      <c r="C107" s="30">
        <f aca="true" t="shared" si="25" ref="C107:H107">SUM(C108:C108)</f>
        <v>7000</v>
      </c>
      <c r="D107" s="30">
        <f t="shared" si="25"/>
        <v>0</v>
      </c>
      <c r="E107" s="30">
        <f t="shared" si="25"/>
        <v>7000</v>
      </c>
      <c r="F107" s="30">
        <f t="shared" si="25"/>
        <v>0</v>
      </c>
      <c r="G107" s="30">
        <f t="shared" si="25"/>
        <v>7000</v>
      </c>
      <c r="H107" s="30">
        <f t="shared" si="25"/>
        <v>0</v>
      </c>
      <c r="I107" s="91"/>
      <c r="M107" s="91"/>
      <c r="N107" s="91"/>
      <c r="O107" s="91"/>
      <c r="P107" s="91"/>
      <c r="R107" s="91"/>
    </row>
    <row r="108" spans="1:18" ht="25.5">
      <c r="A108" s="104"/>
      <c r="B108" s="24" t="s">
        <v>95</v>
      </c>
      <c r="C108" s="20">
        <v>7000</v>
      </c>
      <c r="D108" s="22"/>
      <c r="E108" s="22">
        <f>C108+D108</f>
        <v>7000</v>
      </c>
      <c r="F108" s="32"/>
      <c r="G108" s="32">
        <v>7000</v>
      </c>
      <c r="H108" s="23"/>
      <c r="I108" s="91"/>
      <c r="M108" s="91"/>
      <c r="N108" s="91"/>
      <c r="O108" s="91"/>
      <c r="P108" s="91"/>
      <c r="R108" s="91"/>
    </row>
    <row r="109" spans="1:18" s="29" customFormat="1" ht="12.75">
      <c r="A109" s="109">
        <v>3</v>
      </c>
      <c r="B109" s="59" t="s">
        <v>96</v>
      </c>
      <c r="C109" s="30">
        <f aca="true" t="shared" si="26" ref="C109:H109">SUM(C110:C111)</f>
        <v>5500</v>
      </c>
      <c r="D109" s="30">
        <f t="shared" si="26"/>
        <v>0</v>
      </c>
      <c r="E109" s="30">
        <f t="shared" si="26"/>
        <v>5500</v>
      </c>
      <c r="F109" s="30">
        <f t="shared" si="26"/>
        <v>0</v>
      </c>
      <c r="G109" s="30">
        <f t="shared" si="26"/>
        <v>5500</v>
      </c>
      <c r="H109" s="30">
        <f t="shared" si="26"/>
        <v>0</v>
      </c>
      <c r="I109" s="91"/>
      <c r="M109" s="91"/>
      <c r="N109" s="91"/>
      <c r="O109" s="91"/>
      <c r="P109" s="91"/>
      <c r="R109" s="91"/>
    </row>
    <row r="110" spans="1:18" ht="12.75">
      <c r="A110" s="110"/>
      <c r="B110" s="56" t="s">
        <v>97</v>
      </c>
      <c r="C110" s="27">
        <v>2500</v>
      </c>
      <c r="D110" s="57"/>
      <c r="E110" s="22">
        <f>C110+D110</f>
        <v>2500</v>
      </c>
      <c r="F110" s="32"/>
      <c r="G110" s="32">
        <v>2500</v>
      </c>
      <c r="H110" s="23"/>
      <c r="I110" s="91"/>
      <c r="M110" s="91"/>
      <c r="N110" s="91"/>
      <c r="O110" s="91"/>
      <c r="P110" s="91"/>
      <c r="R110" s="91"/>
    </row>
    <row r="111" spans="1:18" ht="12.75">
      <c r="A111" s="110"/>
      <c r="B111" s="56" t="s">
        <v>98</v>
      </c>
      <c r="C111" s="27">
        <v>3000</v>
      </c>
      <c r="D111" s="57"/>
      <c r="E111" s="22">
        <f>C111+D111</f>
        <v>3000</v>
      </c>
      <c r="F111" s="32"/>
      <c r="G111" s="32">
        <v>3000</v>
      </c>
      <c r="H111" s="23"/>
      <c r="I111" s="91"/>
      <c r="M111" s="91"/>
      <c r="N111" s="91"/>
      <c r="O111" s="91"/>
      <c r="P111" s="91"/>
      <c r="R111" s="91"/>
    </row>
    <row r="112" spans="1:18" s="29" customFormat="1" ht="25.5">
      <c r="A112" s="111">
        <v>4</v>
      </c>
      <c r="B112" s="81" t="s">
        <v>99</v>
      </c>
      <c r="C112" s="82">
        <f aca="true" t="shared" si="27" ref="C112:H112">SUM(C113:C114)</f>
        <v>14000</v>
      </c>
      <c r="D112" s="82">
        <f t="shared" si="27"/>
        <v>0</v>
      </c>
      <c r="E112" s="82">
        <f t="shared" si="27"/>
        <v>14000</v>
      </c>
      <c r="F112" s="82">
        <f t="shared" si="27"/>
        <v>0</v>
      </c>
      <c r="G112" s="82">
        <f t="shared" si="27"/>
        <v>14000</v>
      </c>
      <c r="H112" s="82">
        <f t="shared" si="27"/>
        <v>0</v>
      </c>
      <c r="I112" s="91"/>
      <c r="M112" s="91"/>
      <c r="N112" s="91"/>
      <c r="O112" s="91"/>
      <c r="P112" s="91"/>
      <c r="R112" s="91"/>
    </row>
    <row r="113" spans="1:18" ht="12.75">
      <c r="A113" s="110"/>
      <c r="B113" s="83" t="s">
        <v>100</v>
      </c>
      <c r="C113" s="62">
        <v>11000</v>
      </c>
      <c r="D113" s="53"/>
      <c r="E113" s="22">
        <f>C113+D113</f>
        <v>11000</v>
      </c>
      <c r="F113" s="32"/>
      <c r="G113" s="32">
        <v>11000</v>
      </c>
      <c r="H113" s="23"/>
      <c r="I113" s="91"/>
      <c r="M113" s="91"/>
      <c r="N113" s="91"/>
      <c r="O113" s="91"/>
      <c r="P113" s="91"/>
      <c r="R113" s="91"/>
    </row>
    <row r="114" spans="1:18" ht="12.75">
      <c r="A114" s="110"/>
      <c r="B114" s="83" t="s">
        <v>101</v>
      </c>
      <c r="C114" s="62">
        <v>3000</v>
      </c>
      <c r="D114" s="53"/>
      <c r="E114" s="22">
        <f>C114+D114</f>
        <v>3000</v>
      </c>
      <c r="F114" s="32"/>
      <c r="G114" s="32">
        <v>3000</v>
      </c>
      <c r="H114" s="23"/>
      <c r="I114" s="91"/>
      <c r="M114" s="91"/>
      <c r="N114" s="91"/>
      <c r="O114" s="91"/>
      <c r="P114" s="91"/>
      <c r="R114" s="91"/>
    </row>
    <row r="115" spans="1:18" s="29" customFormat="1" ht="12.75">
      <c r="A115" s="111">
        <v>5</v>
      </c>
      <c r="B115" s="81" t="s">
        <v>102</v>
      </c>
      <c r="C115" s="82">
        <f aca="true" t="shared" si="28" ref="C115:H115">SUM(C116:C116)</f>
        <v>3000</v>
      </c>
      <c r="D115" s="82">
        <f t="shared" si="28"/>
        <v>0</v>
      </c>
      <c r="E115" s="82">
        <f t="shared" si="28"/>
        <v>3000</v>
      </c>
      <c r="F115" s="82">
        <f t="shared" si="28"/>
        <v>0</v>
      </c>
      <c r="G115" s="82">
        <f t="shared" si="28"/>
        <v>3000</v>
      </c>
      <c r="H115" s="82">
        <f t="shared" si="28"/>
        <v>0</v>
      </c>
      <c r="I115" s="91"/>
      <c r="M115" s="91"/>
      <c r="N115" s="91"/>
      <c r="O115" s="91"/>
      <c r="P115" s="91"/>
      <c r="R115" s="91"/>
    </row>
    <row r="116" spans="1:18" ht="12.75">
      <c r="A116" s="110"/>
      <c r="B116" s="83" t="s">
        <v>103</v>
      </c>
      <c r="C116" s="62">
        <v>3000</v>
      </c>
      <c r="D116" s="53"/>
      <c r="E116" s="22">
        <f>C116+D116</f>
        <v>3000</v>
      </c>
      <c r="F116" s="32"/>
      <c r="G116" s="32">
        <v>3000</v>
      </c>
      <c r="H116" s="23"/>
      <c r="I116" s="91"/>
      <c r="M116" s="91"/>
      <c r="N116" s="91"/>
      <c r="O116" s="91"/>
      <c r="P116" s="91"/>
      <c r="R116" s="91"/>
    </row>
    <row r="117" spans="1:18" s="29" customFormat="1" ht="12.75">
      <c r="A117" s="109">
        <v>6</v>
      </c>
      <c r="B117" s="84" t="s">
        <v>104</v>
      </c>
      <c r="C117" s="82">
        <f aca="true" t="shared" si="29" ref="C117:H117">SUM(C118:C120)</f>
        <v>178000</v>
      </c>
      <c r="D117" s="82">
        <f t="shared" si="29"/>
        <v>0</v>
      </c>
      <c r="E117" s="82">
        <f t="shared" si="29"/>
        <v>178000</v>
      </c>
      <c r="F117" s="82">
        <f t="shared" si="29"/>
        <v>0</v>
      </c>
      <c r="G117" s="82">
        <f t="shared" si="29"/>
        <v>178000</v>
      </c>
      <c r="H117" s="82">
        <f t="shared" si="29"/>
        <v>0</v>
      </c>
      <c r="I117" s="91"/>
      <c r="M117" s="91"/>
      <c r="N117" s="91"/>
      <c r="O117" s="91"/>
      <c r="P117" s="91"/>
      <c r="R117" s="91"/>
    </row>
    <row r="118" spans="1:18" ht="12.75">
      <c r="A118" s="110"/>
      <c r="B118" s="61" t="s">
        <v>105</v>
      </c>
      <c r="C118" s="62">
        <v>3000</v>
      </c>
      <c r="D118" s="53"/>
      <c r="E118" s="22">
        <f>C118+D118</f>
        <v>3000</v>
      </c>
      <c r="F118" s="32"/>
      <c r="G118" s="32">
        <v>3000</v>
      </c>
      <c r="H118" s="23"/>
      <c r="I118" s="91"/>
      <c r="M118" s="91"/>
      <c r="N118" s="91"/>
      <c r="O118" s="91"/>
      <c r="P118" s="91"/>
      <c r="R118" s="91"/>
    </row>
    <row r="119" spans="1:18" ht="25.5">
      <c r="A119" s="110"/>
      <c r="B119" s="61" t="s">
        <v>106</v>
      </c>
      <c r="C119" s="62">
        <v>150000</v>
      </c>
      <c r="D119" s="53"/>
      <c r="E119" s="22">
        <f>C119+D119</f>
        <v>150000</v>
      </c>
      <c r="F119" s="32"/>
      <c r="G119" s="32">
        <v>150000</v>
      </c>
      <c r="H119" s="23"/>
      <c r="I119" s="91"/>
      <c r="M119" s="91"/>
      <c r="N119" s="91"/>
      <c r="O119" s="91"/>
      <c r="P119" s="91"/>
      <c r="R119" s="91"/>
    </row>
    <row r="120" spans="1:18" ht="25.5">
      <c r="A120" s="110"/>
      <c r="B120" s="61" t="s">
        <v>107</v>
      </c>
      <c r="C120" s="62">
        <v>25000</v>
      </c>
      <c r="D120" s="53"/>
      <c r="E120" s="22">
        <f>C120+D120</f>
        <v>25000</v>
      </c>
      <c r="F120" s="32"/>
      <c r="G120" s="32">
        <v>25000</v>
      </c>
      <c r="H120" s="23"/>
      <c r="I120" s="91"/>
      <c r="M120" s="91"/>
      <c r="N120" s="91"/>
      <c r="O120" s="91"/>
      <c r="P120" s="91"/>
      <c r="R120" s="91"/>
    </row>
    <row r="121" spans="1:18" s="29" customFormat="1" ht="12.75">
      <c r="A121" s="78">
        <v>7</v>
      </c>
      <c r="B121" s="85" t="s">
        <v>108</v>
      </c>
      <c r="C121" s="86">
        <v>5000</v>
      </c>
      <c r="D121" s="87"/>
      <c r="E121" s="60">
        <f>C121+D121</f>
        <v>5000</v>
      </c>
      <c r="F121" s="60"/>
      <c r="G121" s="60">
        <v>5000</v>
      </c>
      <c r="H121" s="90"/>
      <c r="I121" s="91"/>
      <c r="M121" s="91"/>
      <c r="N121" s="91"/>
      <c r="O121" s="91"/>
      <c r="P121" s="91"/>
      <c r="R121" s="91"/>
    </row>
    <row r="122" spans="1:18" s="29" customFormat="1" ht="12.75">
      <c r="A122" s="109">
        <v>8</v>
      </c>
      <c r="B122" s="85" t="s">
        <v>109</v>
      </c>
      <c r="C122" s="86">
        <f aca="true" t="shared" si="30" ref="C122:H122">SUM(C123:C124)</f>
        <v>45000</v>
      </c>
      <c r="D122" s="86">
        <f t="shared" si="30"/>
        <v>0</v>
      </c>
      <c r="E122" s="86">
        <f t="shared" si="30"/>
        <v>45000</v>
      </c>
      <c r="F122" s="86">
        <f t="shared" si="30"/>
        <v>0</v>
      </c>
      <c r="G122" s="86">
        <f t="shared" si="30"/>
        <v>45000</v>
      </c>
      <c r="H122" s="86">
        <f t="shared" si="30"/>
        <v>0</v>
      </c>
      <c r="I122" s="91"/>
      <c r="M122" s="91"/>
      <c r="N122" s="91"/>
      <c r="O122" s="91"/>
      <c r="P122" s="91"/>
      <c r="R122" s="91"/>
    </row>
    <row r="123" spans="1:18" ht="12.75">
      <c r="A123" s="110"/>
      <c r="B123" s="49" t="s">
        <v>110</v>
      </c>
      <c r="C123" s="88">
        <v>35000</v>
      </c>
      <c r="D123" s="89"/>
      <c r="E123" s="22">
        <f aca="true" t="shared" si="31" ref="E123:E131">C123+D123</f>
        <v>35000</v>
      </c>
      <c r="F123" s="32"/>
      <c r="G123" s="32">
        <v>35000</v>
      </c>
      <c r="H123" s="23"/>
      <c r="I123" s="91"/>
      <c r="M123" s="91"/>
      <c r="N123" s="91"/>
      <c r="O123" s="91"/>
      <c r="P123" s="91"/>
      <c r="R123" s="91"/>
    </row>
    <row r="124" spans="1:18" ht="25.5">
      <c r="A124" s="110"/>
      <c r="B124" s="61" t="s">
        <v>111</v>
      </c>
      <c r="C124" s="88">
        <v>10000</v>
      </c>
      <c r="D124" s="89"/>
      <c r="E124" s="22">
        <f t="shared" si="31"/>
        <v>10000</v>
      </c>
      <c r="F124" s="32"/>
      <c r="G124" s="32">
        <v>10000</v>
      </c>
      <c r="H124" s="23"/>
      <c r="I124" s="91"/>
      <c r="M124" s="91"/>
      <c r="N124" s="91"/>
      <c r="O124" s="91"/>
      <c r="P124" s="91"/>
      <c r="R124" s="91"/>
    </row>
    <row r="125" spans="1:18" ht="25.5">
      <c r="A125" s="31">
        <v>9</v>
      </c>
      <c r="B125" s="61" t="s">
        <v>112</v>
      </c>
      <c r="C125" s="88">
        <v>40000</v>
      </c>
      <c r="D125" s="89"/>
      <c r="E125" s="22">
        <f t="shared" si="31"/>
        <v>40000</v>
      </c>
      <c r="F125" s="22"/>
      <c r="G125" s="22">
        <v>40000</v>
      </c>
      <c r="H125" s="23"/>
      <c r="I125" s="91"/>
      <c r="M125" s="91"/>
      <c r="N125" s="91"/>
      <c r="O125" s="91"/>
      <c r="P125" s="91"/>
      <c r="R125" s="91"/>
    </row>
    <row r="126" spans="1:18" ht="12.75">
      <c r="A126" s="31">
        <v>10</v>
      </c>
      <c r="B126" s="61" t="s">
        <v>113</v>
      </c>
      <c r="C126" s="62">
        <v>150000</v>
      </c>
      <c r="D126" s="53"/>
      <c r="E126" s="22">
        <f t="shared" si="31"/>
        <v>150000</v>
      </c>
      <c r="F126" s="22"/>
      <c r="G126" s="22">
        <v>150000</v>
      </c>
      <c r="H126" s="23"/>
      <c r="I126" s="91"/>
      <c r="M126" s="91"/>
      <c r="N126" s="91"/>
      <c r="O126" s="91"/>
      <c r="P126" s="91"/>
      <c r="R126" s="91"/>
    </row>
    <row r="127" spans="1:18" ht="12.75">
      <c r="A127" s="31">
        <v>11</v>
      </c>
      <c r="B127" s="61" t="s">
        <v>114</v>
      </c>
      <c r="C127" s="62">
        <v>0</v>
      </c>
      <c r="D127" s="53"/>
      <c r="E127" s="22">
        <f t="shared" si="31"/>
        <v>0</v>
      </c>
      <c r="F127" s="22"/>
      <c r="G127" s="22">
        <f>80000-80000</f>
        <v>0</v>
      </c>
      <c r="H127" s="23"/>
      <c r="I127" s="91"/>
      <c r="M127" s="91"/>
      <c r="N127" s="91"/>
      <c r="O127" s="91"/>
      <c r="P127" s="91"/>
      <c r="R127" s="91"/>
    </row>
    <row r="128" spans="1:18" ht="12.75">
      <c r="A128" s="31">
        <v>12</v>
      </c>
      <c r="B128" s="61" t="s">
        <v>115</v>
      </c>
      <c r="C128" s="62">
        <v>40000</v>
      </c>
      <c r="D128" s="53"/>
      <c r="E128" s="22">
        <f t="shared" si="31"/>
        <v>40000</v>
      </c>
      <c r="F128" s="22"/>
      <c r="G128" s="22">
        <v>40000</v>
      </c>
      <c r="H128" s="23"/>
      <c r="I128" s="91"/>
      <c r="M128" s="91"/>
      <c r="N128" s="91"/>
      <c r="O128" s="91"/>
      <c r="P128" s="91"/>
      <c r="R128" s="91"/>
    </row>
    <row r="129" spans="1:18" ht="25.5">
      <c r="A129" s="31">
        <v>13</v>
      </c>
      <c r="B129" s="61" t="s">
        <v>116</v>
      </c>
      <c r="C129" s="62">
        <v>360000</v>
      </c>
      <c r="D129" s="53"/>
      <c r="E129" s="22">
        <f t="shared" si="31"/>
        <v>360000</v>
      </c>
      <c r="F129" s="22"/>
      <c r="G129" s="22">
        <v>360000</v>
      </c>
      <c r="H129" s="23"/>
      <c r="I129" s="91"/>
      <c r="M129" s="91"/>
      <c r="N129" s="91"/>
      <c r="O129" s="91"/>
      <c r="P129" s="91"/>
      <c r="R129" s="91"/>
    </row>
    <row r="130" spans="1:18" ht="25.5">
      <c r="A130" s="31">
        <v>14</v>
      </c>
      <c r="B130" s="61" t="s">
        <v>201</v>
      </c>
      <c r="C130" s="62">
        <v>47000</v>
      </c>
      <c r="D130" s="53"/>
      <c r="E130" s="22">
        <f t="shared" si="31"/>
        <v>47000</v>
      </c>
      <c r="F130" s="22"/>
      <c r="G130" s="22">
        <v>47000</v>
      </c>
      <c r="H130" s="23"/>
      <c r="I130" s="91"/>
      <c r="M130" s="91"/>
      <c r="N130" s="91"/>
      <c r="O130" s="91"/>
      <c r="P130" s="91"/>
      <c r="R130" s="91"/>
    </row>
    <row r="131" spans="1:18" ht="25.5">
      <c r="A131" s="31">
        <v>15</v>
      </c>
      <c r="B131" s="61" t="s">
        <v>203</v>
      </c>
      <c r="C131" s="62">
        <v>33000</v>
      </c>
      <c r="D131" s="53"/>
      <c r="E131" s="22">
        <f t="shared" si="31"/>
        <v>33000</v>
      </c>
      <c r="F131" s="22"/>
      <c r="G131" s="22">
        <v>33000</v>
      </c>
      <c r="H131" s="23"/>
      <c r="I131" s="91"/>
      <c r="M131" s="91"/>
      <c r="N131" s="91"/>
      <c r="O131" s="91"/>
      <c r="P131" s="91"/>
      <c r="R131" s="91"/>
    </row>
    <row r="132" spans="1:18" ht="25.5">
      <c r="A132" s="45"/>
      <c r="B132" s="46" t="s">
        <v>117</v>
      </c>
      <c r="C132" s="48">
        <f aca="true" t="shared" si="32" ref="C132:H132">SUM(C133:C134)</f>
        <v>1020000</v>
      </c>
      <c r="D132" s="48">
        <f t="shared" si="32"/>
        <v>0</v>
      </c>
      <c r="E132" s="48">
        <f t="shared" si="32"/>
        <v>1020000</v>
      </c>
      <c r="F132" s="48">
        <f t="shared" si="32"/>
        <v>0</v>
      </c>
      <c r="G132" s="48">
        <f t="shared" si="32"/>
        <v>1020000</v>
      </c>
      <c r="H132" s="48">
        <f t="shared" si="32"/>
        <v>0</v>
      </c>
      <c r="I132" s="91"/>
      <c r="M132" s="91"/>
      <c r="N132" s="91"/>
      <c r="O132" s="91"/>
      <c r="P132" s="91"/>
      <c r="R132" s="91"/>
    </row>
    <row r="133" spans="1:18" ht="25.5">
      <c r="A133" s="31">
        <v>1</v>
      </c>
      <c r="B133" s="61" t="s">
        <v>118</v>
      </c>
      <c r="C133" s="62">
        <v>420000</v>
      </c>
      <c r="D133" s="53"/>
      <c r="E133" s="22">
        <f>C133+D133</f>
        <v>420000</v>
      </c>
      <c r="F133" s="53"/>
      <c r="G133" s="53">
        <v>420000</v>
      </c>
      <c r="H133" s="23"/>
      <c r="I133" s="91"/>
      <c r="M133" s="91"/>
      <c r="N133" s="91"/>
      <c r="O133" s="91"/>
      <c r="P133" s="91"/>
      <c r="R133" s="91"/>
    </row>
    <row r="134" spans="1:18" ht="12.75">
      <c r="A134" s="31">
        <v>2</v>
      </c>
      <c r="B134" s="61" t="s">
        <v>119</v>
      </c>
      <c r="C134" s="62">
        <v>600000</v>
      </c>
      <c r="D134" s="53"/>
      <c r="E134" s="22">
        <f>C134+D134</f>
        <v>600000</v>
      </c>
      <c r="F134" s="53"/>
      <c r="G134" s="53">
        <f>2000000-1400000</f>
        <v>600000</v>
      </c>
      <c r="H134" s="23"/>
      <c r="I134" s="91"/>
      <c r="M134" s="91"/>
      <c r="N134" s="91"/>
      <c r="O134" s="91"/>
      <c r="P134" s="91"/>
      <c r="R134" s="91"/>
    </row>
    <row r="135" spans="1:18" s="64" customFormat="1" ht="12.75">
      <c r="A135" s="63"/>
      <c r="B135" s="46" t="s">
        <v>120</v>
      </c>
      <c r="C135" s="48">
        <f aca="true" t="shared" si="33" ref="C135:H135">C136</f>
        <v>50000</v>
      </c>
      <c r="D135" s="48">
        <f t="shared" si="33"/>
        <v>0</v>
      </c>
      <c r="E135" s="48">
        <f t="shared" si="33"/>
        <v>50000</v>
      </c>
      <c r="F135" s="48">
        <f t="shared" si="33"/>
        <v>0</v>
      </c>
      <c r="G135" s="48">
        <f t="shared" si="33"/>
        <v>50000</v>
      </c>
      <c r="H135" s="48">
        <f t="shared" si="33"/>
        <v>0</v>
      </c>
      <c r="I135" s="91"/>
      <c r="M135" s="91"/>
      <c r="N135" s="91"/>
      <c r="O135" s="91"/>
      <c r="P135" s="91"/>
      <c r="R135" s="91"/>
    </row>
    <row r="136" spans="1:18" ht="12.75">
      <c r="A136" s="31">
        <v>1</v>
      </c>
      <c r="B136" s="24" t="s">
        <v>121</v>
      </c>
      <c r="C136" s="20">
        <v>50000</v>
      </c>
      <c r="D136" s="22"/>
      <c r="E136" s="22">
        <f>C136+D136</f>
        <v>50000</v>
      </c>
      <c r="F136" s="22"/>
      <c r="G136" s="22">
        <v>50000</v>
      </c>
      <c r="H136" s="23"/>
      <c r="I136" s="91"/>
      <c r="M136" s="91"/>
      <c r="N136" s="91"/>
      <c r="O136" s="91"/>
      <c r="P136" s="91"/>
      <c r="R136" s="91"/>
    </row>
    <row r="137" spans="1:18" s="64" customFormat="1" ht="25.5">
      <c r="A137" s="63"/>
      <c r="B137" s="46" t="s">
        <v>219</v>
      </c>
      <c r="C137" s="48">
        <f aca="true" t="shared" si="34" ref="C137:H137">SUM(C138:C139)</f>
        <v>2500</v>
      </c>
      <c r="D137" s="48">
        <f t="shared" si="34"/>
        <v>0</v>
      </c>
      <c r="E137" s="48">
        <f t="shared" si="34"/>
        <v>2500</v>
      </c>
      <c r="F137" s="48">
        <f t="shared" si="34"/>
        <v>2500</v>
      </c>
      <c r="G137" s="48">
        <f t="shared" si="34"/>
        <v>0</v>
      </c>
      <c r="H137" s="48">
        <f t="shared" si="34"/>
        <v>0</v>
      </c>
      <c r="I137" s="91"/>
      <c r="M137" s="91"/>
      <c r="N137" s="91"/>
      <c r="O137" s="91"/>
      <c r="P137" s="91"/>
      <c r="R137" s="91"/>
    </row>
    <row r="138" spans="1:18" ht="12.75">
      <c r="A138" s="31">
        <v>1</v>
      </c>
      <c r="B138" s="24" t="s">
        <v>220</v>
      </c>
      <c r="C138" s="22">
        <v>700</v>
      </c>
      <c r="D138" s="22"/>
      <c r="E138" s="22">
        <f>C138+D138</f>
        <v>700</v>
      </c>
      <c r="F138" s="22">
        <v>700</v>
      </c>
      <c r="G138" s="22"/>
      <c r="H138" s="23"/>
      <c r="I138" s="91"/>
      <c r="M138" s="91"/>
      <c r="N138" s="91"/>
      <c r="O138" s="91"/>
      <c r="P138" s="91"/>
      <c r="R138" s="91"/>
    </row>
    <row r="139" spans="1:18" ht="12.75">
      <c r="A139" s="31">
        <v>2</v>
      </c>
      <c r="B139" s="24" t="s">
        <v>221</v>
      </c>
      <c r="C139" s="22">
        <v>1800</v>
      </c>
      <c r="D139" s="22"/>
      <c r="E139" s="22">
        <f>C139+D139</f>
        <v>1800</v>
      </c>
      <c r="F139" s="22">
        <v>1800</v>
      </c>
      <c r="G139" s="22"/>
      <c r="H139" s="23"/>
      <c r="I139" s="91"/>
      <c r="M139" s="91"/>
      <c r="N139" s="91"/>
      <c r="O139" s="91"/>
      <c r="P139" s="91"/>
      <c r="R139" s="91"/>
    </row>
    <row r="140" spans="1:18" ht="25.5">
      <c r="A140" s="34"/>
      <c r="B140" s="35" t="s">
        <v>122</v>
      </c>
      <c r="C140" s="37">
        <f aca="true" t="shared" si="35" ref="C140:H140">C141+C142+C143+C144+C146+C149+C150+C152+C153+C154+C155+C156+C160+C161+C167+C168+C171+C172+C173+C174+C175+C176+C177+C178+C179+C180+C181+C182+C183</f>
        <v>2038620</v>
      </c>
      <c r="D140" s="37">
        <f t="shared" si="35"/>
        <v>0</v>
      </c>
      <c r="E140" s="37">
        <f t="shared" si="35"/>
        <v>2038620</v>
      </c>
      <c r="F140" s="37">
        <f t="shared" si="35"/>
        <v>24600</v>
      </c>
      <c r="G140" s="37">
        <f t="shared" si="35"/>
        <v>2014020</v>
      </c>
      <c r="H140" s="37">
        <f t="shared" si="35"/>
        <v>0</v>
      </c>
      <c r="I140" s="91"/>
      <c r="M140" s="91"/>
      <c r="N140" s="91"/>
      <c r="O140" s="91"/>
      <c r="P140" s="91"/>
      <c r="R140" s="91"/>
    </row>
    <row r="141" spans="1:18" ht="25.5">
      <c r="A141" s="31">
        <v>1</v>
      </c>
      <c r="B141" s="24" t="s">
        <v>212</v>
      </c>
      <c r="C141" s="20">
        <v>188000</v>
      </c>
      <c r="D141" s="22"/>
      <c r="E141" s="22">
        <f>C141+D141</f>
        <v>188000</v>
      </c>
      <c r="F141" s="22"/>
      <c r="G141" s="22">
        <f>250000-62000</f>
        <v>188000</v>
      </c>
      <c r="H141" s="23"/>
      <c r="I141" s="91"/>
      <c r="M141" s="91"/>
      <c r="N141" s="91"/>
      <c r="O141" s="91"/>
      <c r="P141" s="91"/>
      <c r="R141" s="91"/>
    </row>
    <row r="142" spans="1:18" ht="25.5">
      <c r="A142" s="31">
        <v>2</v>
      </c>
      <c r="B142" s="24" t="s">
        <v>123</v>
      </c>
      <c r="C142" s="20">
        <v>170000</v>
      </c>
      <c r="D142" s="22"/>
      <c r="E142" s="22">
        <f>C142+D142</f>
        <v>170000</v>
      </c>
      <c r="F142" s="22"/>
      <c r="G142" s="22">
        <f>150000+20000</f>
        <v>170000</v>
      </c>
      <c r="H142" s="23"/>
      <c r="I142" s="91"/>
      <c r="M142" s="91"/>
      <c r="N142" s="91"/>
      <c r="O142" s="91"/>
      <c r="P142" s="91"/>
      <c r="R142" s="91"/>
    </row>
    <row r="143" spans="1:18" ht="38.25">
      <c r="A143" s="31">
        <v>3</v>
      </c>
      <c r="B143" s="41" t="s">
        <v>124</v>
      </c>
      <c r="C143" s="42">
        <v>80000</v>
      </c>
      <c r="D143" s="43"/>
      <c r="E143" s="22">
        <f>C143+D143</f>
        <v>80000</v>
      </c>
      <c r="F143" s="22"/>
      <c r="G143" s="22">
        <v>80000</v>
      </c>
      <c r="H143" s="23"/>
      <c r="I143" s="91"/>
      <c r="M143" s="91"/>
      <c r="N143" s="91"/>
      <c r="O143" s="91"/>
      <c r="P143" s="91"/>
      <c r="R143" s="91"/>
    </row>
    <row r="144" spans="1:18" s="17" customFormat="1" ht="12.75">
      <c r="A144" s="31">
        <v>4</v>
      </c>
      <c r="B144" s="41" t="s">
        <v>125</v>
      </c>
      <c r="C144" s="42">
        <v>30000</v>
      </c>
      <c r="D144" s="43"/>
      <c r="E144" s="22">
        <v>30000</v>
      </c>
      <c r="F144" s="22"/>
      <c r="G144" s="22">
        <v>30000</v>
      </c>
      <c r="H144" s="23"/>
      <c r="I144" s="91"/>
      <c r="M144" s="91"/>
      <c r="N144" s="91"/>
      <c r="O144" s="91"/>
      <c r="P144" s="91"/>
      <c r="R144" s="91"/>
    </row>
    <row r="145" spans="1:18" s="17" customFormat="1" ht="38.25">
      <c r="A145" s="96"/>
      <c r="B145" s="70" t="s">
        <v>126</v>
      </c>
      <c r="C145" s="20"/>
      <c r="D145" s="71"/>
      <c r="E145" s="22"/>
      <c r="F145" s="22"/>
      <c r="G145" s="22"/>
      <c r="H145" s="23"/>
      <c r="I145" s="91"/>
      <c r="M145" s="91"/>
      <c r="N145" s="91"/>
      <c r="O145" s="91"/>
      <c r="P145" s="91"/>
      <c r="R145" s="91"/>
    </row>
    <row r="146" spans="1:18" ht="12.75">
      <c r="A146" s="31">
        <v>5</v>
      </c>
      <c r="B146" s="24" t="s">
        <v>127</v>
      </c>
      <c r="C146" s="20">
        <v>33000</v>
      </c>
      <c r="D146" s="22">
        <f>-33000</f>
        <v>-33000</v>
      </c>
      <c r="E146" s="22">
        <f>C146+D146</f>
        <v>0</v>
      </c>
      <c r="F146" s="22"/>
      <c r="G146" s="22">
        <f>33000-33000</f>
        <v>0</v>
      </c>
      <c r="H146" s="23"/>
      <c r="I146" s="91"/>
      <c r="M146" s="91"/>
      <c r="N146" s="91"/>
      <c r="O146" s="91"/>
      <c r="P146" s="91"/>
      <c r="R146" s="91"/>
    </row>
    <row r="147" spans="1:18" ht="25.5">
      <c r="A147" s="31"/>
      <c r="B147" s="70" t="s">
        <v>128</v>
      </c>
      <c r="C147" s="20"/>
      <c r="D147" s="71"/>
      <c r="E147" s="22"/>
      <c r="F147" s="22"/>
      <c r="G147" s="23"/>
      <c r="H147" s="23"/>
      <c r="I147" s="91"/>
      <c r="M147" s="91"/>
      <c r="N147" s="91"/>
      <c r="O147" s="91"/>
      <c r="P147" s="91"/>
      <c r="R147" s="91"/>
    </row>
    <row r="148" spans="1:18" ht="12.75">
      <c r="A148" s="31"/>
      <c r="B148" s="24" t="s">
        <v>213</v>
      </c>
      <c r="C148" s="20"/>
      <c r="D148" s="22"/>
      <c r="E148" s="22"/>
      <c r="F148" s="22"/>
      <c r="G148" s="23"/>
      <c r="H148" s="23"/>
      <c r="I148" s="91"/>
      <c r="M148" s="91"/>
      <c r="N148" s="91"/>
      <c r="O148" s="91"/>
      <c r="P148" s="91"/>
      <c r="R148" s="91"/>
    </row>
    <row r="149" spans="1:18" ht="25.5">
      <c r="A149" s="31">
        <v>6</v>
      </c>
      <c r="B149" s="24" t="s">
        <v>129</v>
      </c>
      <c r="C149" s="20">
        <v>15000</v>
      </c>
      <c r="D149" s="22"/>
      <c r="E149" s="22">
        <f>C149+D149</f>
        <v>15000</v>
      </c>
      <c r="F149" s="22"/>
      <c r="G149" s="22">
        <v>15000</v>
      </c>
      <c r="H149" s="23"/>
      <c r="I149" s="91"/>
      <c r="M149" s="91"/>
      <c r="N149" s="91"/>
      <c r="O149" s="91"/>
      <c r="P149" s="91"/>
      <c r="R149" s="91"/>
    </row>
    <row r="150" spans="1:18" ht="25.5">
      <c r="A150" s="31">
        <v>7</v>
      </c>
      <c r="B150" s="24" t="s">
        <v>130</v>
      </c>
      <c r="C150" s="20">
        <v>6000</v>
      </c>
      <c r="D150" s="22"/>
      <c r="E150" s="22">
        <f>C150+D150</f>
        <v>6000</v>
      </c>
      <c r="F150" s="22"/>
      <c r="G150" s="22">
        <v>6000</v>
      </c>
      <c r="H150" s="23"/>
      <c r="I150" s="91"/>
      <c r="M150" s="91"/>
      <c r="N150" s="91"/>
      <c r="O150" s="91"/>
      <c r="P150" s="91"/>
      <c r="R150" s="91"/>
    </row>
    <row r="151" spans="1:18" ht="12.75">
      <c r="A151" s="31"/>
      <c r="B151" s="56" t="s">
        <v>241</v>
      </c>
      <c r="C151" s="27"/>
      <c r="D151" s="57"/>
      <c r="E151" s="22"/>
      <c r="F151" s="22"/>
      <c r="G151" s="22"/>
      <c r="H151" s="23"/>
      <c r="I151" s="91"/>
      <c r="M151" s="91"/>
      <c r="N151" s="91"/>
      <c r="O151" s="91"/>
      <c r="P151" s="91"/>
      <c r="R151" s="91"/>
    </row>
    <row r="152" spans="1:18" ht="12.75">
      <c r="A152" s="31">
        <v>8</v>
      </c>
      <c r="B152" s="24" t="s">
        <v>131</v>
      </c>
      <c r="C152" s="20">
        <v>50000</v>
      </c>
      <c r="D152" s="22"/>
      <c r="E152" s="22">
        <f>C152+D152</f>
        <v>50000</v>
      </c>
      <c r="F152" s="22"/>
      <c r="G152" s="22">
        <v>50000</v>
      </c>
      <c r="H152" s="23"/>
      <c r="I152" s="91"/>
      <c r="M152" s="91"/>
      <c r="N152" s="91"/>
      <c r="O152" s="91"/>
      <c r="P152" s="91"/>
      <c r="R152" s="91"/>
    </row>
    <row r="153" spans="1:18" ht="25.5">
      <c r="A153" s="31">
        <v>9</v>
      </c>
      <c r="B153" s="24" t="s">
        <v>132</v>
      </c>
      <c r="C153" s="20">
        <v>5000</v>
      </c>
      <c r="D153" s="22"/>
      <c r="E153" s="22">
        <f>C153+D153</f>
        <v>5000</v>
      </c>
      <c r="F153" s="22"/>
      <c r="G153" s="22">
        <v>5000</v>
      </c>
      <c r="H153" s="23"/>
      <c r="I153" s="91"/>
      <c r="M153" s="91"/>
      <c r="N153" s="91"/>
      <c r="O153" s="91"/>
      <c r="P153" s="91"/>
      <c r="R153" s="91"/>
    </row>
    <row r="154" spans="1:18" ht="12.75">
      <c r="A154" s="31">
        <v>10</v>
      </c>
      <c r="B154" s="24" t="s">
        <v>133</v>
      </c>
      <c r="C154" s="20">
        <v>15000</v>
      </c>
      <c r="D154" s="22"/>
      <c r="E154" s="22">
        <f>C154+D154</f>
        <v>15000</v>
      </c>
      <c r="F154" s="22"/>
      <c r="G154" s="22">
        <v>15000</v>
      </c>
      <c r="H154" s="23"/>
      <c r="I154" s="91"/>
      <c r="M154" s="91"/>
      <c r="N154" s="91"/>
      <c r="O154" s="91"/>
      <c r="P154" s="91"/>
      <c r="R154" s="91"/>
    </row>
    <row r="155" spans="1:18" s="17" customFormat="1" ht="12.75">
      <c r="A155" s="31">
        <v>11</v>
      </c>
      <c r="B155" s="24" t="s">
        <v>134</v>
      </c>
      <c r="C155" s="20">
        <v>20000</v>
      </c>
      <c r="D155" s="22"/>
      <c r="E155" s="22">
        <f>C155+D155</f>
        <v>20000</v>
      </c>
      <c r="F155" s="22"/>
      <c r="G155" s="22">
        <v>20000</v>
      </c>
      <c r="H155" s="23"/>
      <c r="I155" s="91"/>
      <c r="M155" s="91"/>
      <c r="N155" s="91"/>
      <c r="O155" s="91"/>
      <c r="P155" s="91"/>
      <c r="R155" s="91"/>
    </row>
    <row r="156" spans="1:18" s="17" customFormat="1" ht="12.75">
      <c r="A156" s="31">
        <v>12</v>
      </c>
      <c r="B156" s="24" t="s">
        <v>135</v>
      </c>
      <c r="C156" s="20">
        <v>23000</v>
      </c>
      <c r="D156" s="22">
        <f>-380-220-1580-8000</f>
        <v>-10180</v>
      </c>
      <c r="E156" s="22">
        <f>C156+D156</f>
        <v>12820</v>
      </c>
      <c r="F156" s="22"/>
      <c r="G156" s="22">
        <f>23000-380-220-1580-8000</f>
        <v>12820</v>
      </c>
      <c r="H156" s="23"/>
      <c r="I156" s="91"/>
      <c r="M156" s="91"/>
      <c r="N156" s="91"/>
      <c r="O156" s="91"/>
      <c r="P156" s="91"/>
      <c r="R156" s="91"/>
    </row>
    <row r="157" spans="1:18" s="17" customFormat="1" ht="12.75">
      <c r="A157" s="31"/>
      <c r="B157" s="70" t="s">
        <v>242</v>
      </c>
      <c r="C157" s="20"/>
      <c r="D157" s="71"/>
      <c r="E157" s="22"/>
      <c r="F157" s="22"/>
      <c r="G157" s="22"/>
      <c r="H157" s="23"/>
      <c r="I157" s="91"/>
      <c r="M157" s="91"/>
      <c r="N157" s="91"/>
      <c r="O157" s="91"/>
      <c r="P157" s="91"/>
      <c r="R157" s="91"/>
    </row>
    <row r="158" spans="1:18" s="17" customFormat="1" ht="25.5">
      <c r="A158" s="31"/>
      <c r="B158" s="70" t="s">
        <v>227</v>
      </c>
      <c r="C158" s="20"/>
      <c r="D158" s="71"/>
      <c r="E158" s="22"/>
      <c r="F158" s="22"/>
      <c r="G158" s="22"/>
      <c r="H158" s="23"/>
      <c r="I158" s="91"/>
      <c r="M158" s="91"/>
      <c r="N158" s="91"/>
      <c r="O158" s="91"/>
      <c r="P158" s="91"/>
      <c r="R158" s="91"/>
    </row>
    <row r="159" spans="1:18" s="17" customFormat="1" ht="12.75">
      <c r="A159" s="31"/>
      <c r="B159" s="70" t="s">
        <v>226</v>
      </c>
      <c r="C159" s="20"/>
      <c r="D159" s="71"/>
      <c r="E159" s="22"/>
      <c r="F159" s="22"/>
      <c r="G159" s="22"/>
      <c r="H159" s="23"/>
      <c r="I159" s="91"/>
      <c r="M159" s="91"/>
      <c r="N159" s="91"/>
      <c r="O159" s="91"/>
      <c r="P159" s="91"/>
      <c r="R159" s="91"/>
    </row>
    <row r="160" spans="1:18" ht="25.5">
      <c r="A160" s="31">
        <v>13</v>
      </c>
      <c r="B160" s="24" t="s">
        <v>136</v>
      </c>
      <c r="C160" s="20">
        <v>15000</v>
      </c>
      <c r="D160" s="22"/>
      <c r="E160" s="22">
        <f>C160+D160</f>
        <v>15000</v>
      </c>
      <c r="F160" s="22"/>
      <c r="G160" s="22">
        <v>15000</v>
      </c>
      <c r="H160" s="23"/>
      <c r="I160" s="91"/>
      <c r="M160" s="91"/>
      <c r="N160" s="91"/>
      <c r="O160" s="91"/>
      <c r="P160" s="91"/>
      <c r="R160" s="91"/>
    </row>
    <row r="161" spans="1:18" ht="12.75">
      <c r="A161" s="31">
        <v>14</v>
      </c>
      <c r="B161" s="24" t="s">
        <v>137</v>
      </c>
      <c r="C161" s="20">
        <v>214000</v>
      </c>
      <c r="D161" s="22">
        <f>-1300-700-4000</f>
        <v>-6000</v>
      </c>
      <c r="E161" s="22">
        <f>C161+D161</f>
        <v>208000</v>
      </c>
      <c r="F161" s="22"/>
      <c r="G161" s="22">
        <f>214000-2000-4000</f>
        <v>208000</v>
      </c>
      <c r="H161" s="23"/>
      <c r="I161" s="91"/>
      <c r="M161" s="91"/>
      <c r="N161" s="91"/>
      <c r="O161" s="91"/>
      <c r="P161" s="91"/>
      <c r="R161" s="91"/>
    </row>
    <row r="162" spans="1:18" ht="25.5">
      <c r="A162" s="31"/>
      <c r="B162" s="70" t="s">
        <v>243</v>
      </c>
      <c r="C162" s="20"/>
      <c r="D162" s="71"/>
      <c r="E162" s="22"/>
      <c r="F162" s="22"/>
      <c r="G162" s="22"/>
      <c r="H162" s="23"/>
      <c r="I162" s="91"/>
      <c r="M162" s="91"/>
      <c r="N162" s="91"/>
      <c r="O162" s="91"/>
      <c r="P162" s="91"/>
      <c r="R162" s="91"/>
    </row>
    <row r="163" spans="1:18" ht="38.25">
      <c r="A163" s="31"/>
      <c r="B163" s="70" t="s">
        <v>138</v>
      </c>
      <c r="C163" s="20"/>
      <c r="D163" s="71"/>
      <c r="E163" s="22"/>
      <c r="F163" s="22"/>
      <c r="G163" s="22"/>
      <c r="H163" s="23"/>
      <c r="I163" s="91"/>
      <c r="M163" s="91"/>
      <c r="N163" s="91"/>
      <c r="O163" s="91"/>
      <c r="P163" s="91"/>
      <c r="R163" s="91"/>
    </row>
    <row r="164" spans="1:18" ht="25.5">
      <c r="A164" s="31"/>
      <c r="B164" s="70" t="s">
        <v>228</v>
      </c>
      <c r="C164" s="20"/>
      <c r="D164" s="71"/>
      <c r="E164" s="22"/>
      <c r="F164" s="22"/>
      <c r="G164" s="22"/>
      <c r="H164" s="23"/>
      <c r="I164" s="91"/>
      <c r="M164" s="91"/>
      <c r="N164" s="91"/>
      <c r="O164" s="91"/>
      <c r="P164" s="91"/>
      <c r="R164" s="91"/>
    </row>
    <row r="165" spans="1:18" ht="25.5">
      <c r="A165" s="31"/>
      <c r="B165" s="70" t="s">
        <v>139</v>
      </c>
      <c r="C165" s="20"/>
      <c r="D165" s="71"/>
      <c r="E165" s="22"/>
      <c r="F165" s="22"/>
      <c r="G165" s="22"/>
      <c r="H165" s="23"/>
      <c r="I165" s="91"/>
      <c r="M165" s="91"/>
      <c r="N165" s="91"/>
      <c r="O165" s="91"/>
      <c r="P165" s="91"/>
      <c r="R165" s="91"/>
    </row>
    <row r="166" spans="1:18" ht="25.5">
      <c r="A166" s="31"/>
      <c r="B166" s="70" t="s">
        <v>140</v>
      </c>
      <c r="C166" s="20"/>
      <c r="D166" s="71"/>
      <c r="E166" s="22"/>
      <c r="F166" s="22"/>
      <c r="G166" s="22"/>
      <c r="H166" s="23"/>
      <c r="I166" s="91"/>
      <c r="M166" s="91"/>
      <c r="N166" s="91"/>
      <c r="O166" s="91"/>
      <c r="P166" s="91"/>
      <c r="R166" s="91"/>
    </row>
    <row r="167" spans="1:18" ht="25.5">
      <c r="A167" s="31">
        <v>15</v>
      </c>
      <c r="B167" s="24" t="s">
        <v>141</v>
      </c>
      <c r="C167" s="20">
        <v>2000</v>
      </c>
      <c r="D167" s="22">
        <v>-2000</v>
      </c>
      <c r="E167" s="22">
        <f>C167+D167</f>
        <v>0</v>
      </c>
      <c r="F167" s="22"/>
      <c r="G167" s="22">
        <f>2000-2000</f>
        <v>0</v>
      </c>
      <c r="H167" s="23"/>
      <c r="I167" s="91"/>
      <c r="M167" s="91"/>
      <c r="N167" s="91"/>
      <c r="O167" s="91"/>
      <c r="P167" s="91"/>
      <c r="R167" s="91"/>
    </row>
    <row r="168" spans="1:18" ht="12.75">
      <c r="A168" s="31">
        <v>16</v>
      </c>
      <c r="B168" s="24" t="s">
        <v>142</v>
      </c>
      <c r="C168" s="20">
        <v>0</v>
      </c>
      <c r="D168" s="20"/>
      <c r="E168" s="20">
        <f>SUM(E169:E170)</f>
        <v>0</v>
      </c>
      <c r="F168" s="20"/>
      <c r="G168" s="20">
        <f>SUM(G169:G170)</f>
        <v>0</v>
      </c>
      <c r="H168" s="23"/>
      <c r="I168" s="91"/>
      <c r="M168" s="91"/>
      <c r="N168" s="91"/>
      <c r="O168" s="91"/>
      <c r="P168" s="91"/>
      <c r="R168" s="91"/>
    </row>
    <row r="169" spans="1:18" s="65" customFormat="1" ht="38.25">
      <c r="A169" s="31"/>
      <c r="B169" s="70" t="s">
        <v>143</v>
      </c>
      <c r="C169" s="20"/>
      <c r="D169" s="20"/>
      <c r="E169" s="22"/>
      <c r="F169" s="22"/>
      <c r="G169" s="22">
        <f>140000-140000</f>
        <v>0</v>
      </c>
      <c r="H169" s="32"/>
      <c r="I169" s="91"/>
      <c r="M169" s="91"/>
      <c r="N169" s="91"/>
      <c r="O169" s="91"/>
      <c r="P169" s="91"/>
      <c r="R169" s="91"/>
    </row>
    <row r="170" spans="1:18" s="65" customFormat="1" ht="12.75">
      <c r="A170" s="31"/>
      <c r="B170" s="56" t="s">
        <v>144</v>
      </c>
      <c r="C170" s="27"/>
      <c r="D170" s="27"/>
      <c r="E170" s="22"/>
      <c r="F170" s="22"/>
      <c r="G170" s="22">
        <f>110000-110000</f>
        <v>0</v>
      </c>
      <c r="H170" s="32"/>
      <c r="I170" s="91"/>
      <c r="M170" s="91"/>
      <c r="N170" s="91"/>
      <c r="O170" s="91"/>
      <c r="P170" s="91"/>
      <c r="R170" s="91"/>
    </row>
    <row r="171" spans="1:18" s="65" customFormat="1" ht="12.75">
      <c r="A171" s="31">
        <v>17</v>
      </c>
      <c r="B171" s="24" t="s">
        <v>145</v>
      </c>
      <c r="C171" s="20">
        <v>8000</v>
      </c>
      <c r="D171" s="22">
        <v>-2500</v>
      </c>
      <c r="E171" s="22">
        <f aca="true" t="shared" si="36" ref="E171:E183">C171+D171</f>
        <v>5500</v>
      </c>
      <c r="F171" s="22"/>
      <c r="G171" s="22">
        <f>8000-2500</f>
        <v>5500</v>
      </c>
      <c r="H171" s="32"/>
      <c r="I171" s="91"/>
      <c r="M171" s="91"/>
      <c r="N171" s="91"/>
      <c r="O171" s="91"/>
      <c r="P171" s="91"/>
      <c r="R171" s="91"/>
    </row>
    <row r="172" spans="1:18" s="65" customFormat="1" ht="25.5">
      <c r="A172" s="31">
        <v>18</v>
      </c>
      <c r="B172" s="24" t="s">
        <v>146</v>
      </c>
      <c r="C172" s="20">
        <v>46000</v>
      </c>
      <c r="D172" s="22"/>
      <c r="E172" s="22">
        <f t="shared" si="36"/>
        <v>46000</v>
      </c>
      <c r="F172" s="22"/>
      <c r="G172" s="22">
        <v>46000</v>
      </c>
      <c r="H172" s="32"/>
      <c r="I172" s="91"/>
      <c r="M172" s="91"/>
      <c r="N172" s="91"/>
      <c r="O172" s="91"/>
      <c r="P172" s="91"/>
      <c r="R172" s="91"/>
    </row>
    <row r="173" spans="1:18" s="65" customFormat="1" ht="25.5">
      <c r="A173" s="31">
        <v>19</v>
      </c>
      <c r="B173" s="24" t="s">
        <v>147</v>
      </c>
      <c r="C173" s="20">
        <v>67020</v>
      </c>
      <c r="D173" s="22"/>
      <c r="E173" s="22">
        <f t="shared" si="36"/>
        <v>67020</v>
      </c>
      <c r="F173" s="22"/>
      <c r="G173" s="22">
        <v>67020</v>
      </c>
      <c r="H173" s="32"/>
      <c r="I173" s="91"/>
      <c r="M173" s="91"/>
      <c r="N173" s="91"/>
      <c r="O173" s="91"/>
      <c r="P173" s="91"/>
      <c r="R173" s="91"/>
    </row>
    <row r="174" spans="1:18" s="65" customFormat="1" ht="25.5">
      <c r="A174" s="31">
        <v>20</v>
      </c>
      <c r="B174" s="24" t="s">
        <v>148</v>
      </c>
      <c r="C174" s="20">
        <v>322500</v>
      </c>
      <c r="D174" s="22"/>
      <c r="E174" s="22">
        <f t="shared" si="36"/>
        <v>322500</v>
      </c>
      <c r="F174" s="22"/>
      <c r="G174" s="22">
        <v>322500</v>
      </c>
      <c r="H174" s="32"/>
      <c r="I174" s="91"/>
      <c r="M174" s="91"/>
      <c r="N174" s="91"/>
      <c r="O174" s="91"/>
      <c r="P174" s="91"/>
      <c r="R174" s="91"/>
    </row>
    <row r="175" spans="1:18" s="65" customFormat="1" ht="25.5">
      <c r="A175" s="31">
        <v>21</v>
      </c>
      <c r="B175" s="24" t="s">
        <v>149</v>
      </c>
      <c r="C175" s="20">
        <v>322500</v>
      </c>
      <c r="D175" s="22"/>
      <c r="E175" s="22">
        <f t="shared" si="36"/>
        <v>322500</v>
      </c>
      <c r="F175" s="22"/>
      <c r="G175" s="22">
        <v>322500</v>
      </c>
      <c r="H175" s="32"/>
      <c r="I175" s="91"/>
      <c r="M175" s="91"/>
      <c r="N175" s="91"/>
      <c r="O175" s="91"/>
      <c r="P175" s="91"/>
      <c r="R175" s="91"/>
    </row>
    <row r="176" spans="1:18" s="65" customFormat="1" ht="12.75">
      <c r="A176" s="31">
        <v>22</v>
      </c>
      <c r="B176" s="41" t="s">
        <v>150</v>
      </c>
      <c r="C176" s="42">
        <v>50000</v>
      </c>
      <c r="D176" s="43"/>
      <c r="E176" s="22">
        <f t="shared" si="36"/>
        <v>50000</v>
      </c>
      <c r="F176" s="22"/>
      <c r="G176" s="22">
        <v>50000</v>
      </c>
      <c r="H176" s="32"/>
      <c r="I176" s="91"/>
      <c r="M176" s="91"/>
      <c r="N176" s="91"/>
      <c r="O176" s="91"/>
      <c r="P176" s="91"/>
      <c r="R176" s="91"/>
    </row>
    <row r="177" spans="1:18" s="65" customFormat="1" ht="12.75">
      <c r="A177" s="31">
        <v>23</v>
      </c>
      <c r="B177" s="31" t="s">
        <v>151</v>
      </c>
      <c r="C177" s="27">
        <v>40000</v>
      </c>
      <c r="D177" s="32"/>
      <c r="E177" s="22">
        <f t="shared" si="36"/>
        <v>40000</v>
      </c>
      <c r="F177" s="22"/>
      <c r="G177" s="22">
        <v>40000</v>
      </c>
      <c r="H177" s="32"/>
      <c r="I177" s="91"/>
      <c r="M177" s="91"/>
      <c r="N177" s="91"/>
      <c r="O177" s="91"/>
      <c r="P177" s="91"/>
      <c r="R177" s="91"/>
    </row>
    <row r="178" spans="1:18" s="65" customFormat="1" ht="25.5">
      <c r="A178" s="31">
        <v>24</v>
      </c>
      <c r="B178" s="24" t="s">
        <v>211</v>
      </c>
      <c r="C178" s="27">
        <v>271600</v>
      </c>
      <c r="D178" s="32"/>
      <c r="E178" s="22">
        <f t="shared" si="36"/>
        <v>271600</v>
      </c>
      <c r="F178" s="22">
        <v>24600</v>
      </c>
      <c r="G178" s="22">
        <f>271600-24600</f>
        <v>247000</v>
      </c>
      <c r="H178" s="32"/>
      <c r="I178" s="91"/>
      <c r="M178" s="91"/>
      <c r="N178" s="91"/>
      <c r="O178" s="91"/>
      <c r="P178" s="91"/>
      <c r="R178" s="91"/>
    </row>
    <row r="179" spans="1:18" s="65" customFormat="1" ht="25.5">
      <c r="A179" s="31">
        <v>25</v>
      </c>
      <c r="B179" s="24" t="s">
        <v>197</v>
      </c>
      <c r="C179" s="27">
        <v>45000</v>
      </c>
      <c r="D179" s="32">
        <v>2000</v>
      </c>
      <c r="E179" s="22">
        <f t="shared" si="36"/>
        <v>47000</v>
      </c>
      <c r="F179" s="22"/>
      <c r="G179" s="22">
        <f>45000+2000</f>
        <v>47000</v>
      </c>
      <c r="H179" s="32"/>
      <c r="I179" s="91"/>
      <c r="M179" s="91"/>
      <c r="N179" s="91"/>
      <c r="O179" s="91"/>
      <c r="P179" s="91"/>
      <c r="R179" s="91"/>
    </row>
    <row r="180" spans="1:18" s="94" customFormat="1" ht="12.75">
      <c r="A180" s="31">
        <v>26</v>
      </c>
      <c r="B180" s="24" t="s">
        <v>223</v>
      </c>
      <c r="C180" s="27"/>
      <c r="D180" s="32">
        <v>3100</v>
      </c>
      <c r="E180" s="22">
        <f t="shared" si="36"/>
        <v>3100</v>
      </c>
      <c r="F180" s="22"/>
      <c r="G180" s="22">
        <v>3100</v>
      </c>
      <c r="H180" s="32"/>
      <c r="I180" s="91"/>
      <c r="M180" s="91"/>
      <c r="N180" s="91"/>
      <c r="O180" s="91"/>
      <c r="P180" s="91"/>
      <c r="R180" s="91"/>
    </row>
    <row r="181" spans="1:18" s="94" customFormat="1" ht="25.5">
      <c r="A181" s="31">
        <v>27</v>
      </c>
      <c r="B181" s="24" t="s">
        <v>224</v>
      </c>
      <c r="C181" s="27"/>
      <c r="D181" s="32">
        <f>4900-20</f>
        <v>4880</v>
      </c>
      <c r="E181" s="22">
        <f t="shared" si="36"/>
        <v>4880</v>
      </c>
      <c r="F181" s="22"/>
      <c r="G181" s="22">
        <f>4900-20</f>
        <v>4880</v>
      </c>
      <c r="H181" s="32"/>
      <c r="I181" s="91"/>
      <c r="M181" s="91"/>
      <c r="N181" s="91"/>
      <c r="O181" s="91"/>
      <c r="P181" s="91"/>
      <c r="R181" s="91"/>
    </row>
    <row r="182" spans="1:18" s="94" customFormat="1" ht="12.75">
      <c r="A182" s="31">
        <v>28</v>
      </c>
      <c r="B182" s="24" t="s">
        <v>225</v>
      </c>
      <c r="C182" s="27"/>
      <c r="D182" s="32">
        <v>4000</v>
      </c>
      <c r="E182" s="22">
        <f t="shared" si="36"/>
        <v>4000</v>
      </c>
      <c r="F182" s="22"/>
      <c r="G182" s="22">
        <v>4000</v>
      </c>
      <c r="H182" s="32"/>
      <c r="I182" s="91"/>
      <c r="M182" s="91"/>
      <c r="N182" s="91"/>
      <c r="O182" s="91"/>
      <c r="P182" s="91"/>
      <c r="R182" s="91"/>
    </row>
    <row r="183" spans="1:18" s="94" customFormat="1" ht="12.75">
      <c r="A183" s="31">
        <v>29</v>
      </c>
      <c r="B183" s="24" t="s">
        <v>229</v>
      </c>
      <c r="C183" s="27"/>
      <c r="D183" s="32">
        <f>33000+6000+700</f>
        <v>39700</v>
      </c>
      <c r="E183" s="22">
        <f t="shared" si="36"/>
        <v>39700</v>
      </c>
      <c r="F183" s="22"/>
      <c r="G183" s="32">
        <f>33000+6000+700</f>
        <v>39700</v>
      </c>
      <c r="H183" s="32"/>
      <c r="I183" s="91"/>
      <c r="M183" s="91"/>
      <c r="N183" s="91"/>
      <c r="O183" s="91"/>
      <c r="P183" s="91"/>
      <c r="R183" s="91"/>
    </row>
    <row r="184" spans="1:18" ht="25.5">
      <c r="A184" s="34"/>
      <c r="B184" s="35" t="s">
        <v>152</v>
      </c>
      <c r="C184" s="37">
        <f aca="true" t="shared" si="37" ref="C184:H184">C185+C191+C195+C207+C212+C225+C234</f>
        <v>12081905</v>
      </c>
      <c r="D184" s="37">
        <f t="shared" si="37"/>
        <v>85600</v>
      </c>
      <c r="E184" s="37">
        <f t="shared" si="37"/>
        <v>12167505</v>
      </c>
      <c r="F184" s="37">
        <f t="shared" si="37"/>
        <v>0</v>
      </c>
      <c r="G184" s="37">
        <f t="shared" si="37"/>
        <v>12167505</v>
      </c>
      <c r="H184" s="37">
        <f t="shared" si="37"/>
        <v>0</v>
      </c>
      <c r="I184" s="91"/>
      <c r="M184" s="91"/>
      <c r="N184" s="91"/>
      <c r="O184" s="91"/>
      <c r="P184" s="91"/>
      <c r="R184" s="91"/>
    </row>
    <row r="185" spans="1:18" ht="12.75">
      <c r="A185" s="31"/>
      <c r="B185" s="66" t="s">
        <v>153</v>
      </c>
      <c r="C185" s="67">
        <f aca="true" t="shared" si="38" ref="C185:H185">SUM(C186:C190)</f>
        <v>9266337</v>
      </c>
      <c r="D185" s="67">
        <f t="shared" si="38"/>
        <v>0</v>
      </c>
      <c r="E185" s="67">
        <f t="shared" si="38"/>
        <v>9266337</v>
      </c>
      <c r="F185" s="67">
        <f t="shared" si="38"/>
        <v>0</v>
      </c>
      <c r="G185" s="67">
        <f t="shared" si="38"/>
        <v>9266337</v>
      </c>
      <c r="H185" s="67">
        <f t="shared" si="38"/>
        <v>0</v>
      </c>
      <c r="I185" s="91"/>
      <c r="M185" s="91"/>
      <c r="N185" s="91"/>
      <c r="O185" s="91"/>
      <c r="P185" s="91"/>
      <c r="R185" s="91"/>
    </row>
    <row r="186" spans="1:18" ht="25.5">
      <c r="A186" s="31">
        <v>1</v>
      </c>
      <c r="B186" s="41" t="s">
        <v>208</v>
      </c>
      <c r="C186" s="42">
        <v>6045675</v>
      </c>
      <c r="D186" s="43"/>
      <c r="E186" s="22">
        <f>C186+D186</f>
        <v>6045675</v>
      </c>
      <c r="F186" s="22"/>
      <c r="G186" s="22">
        <f>5747000+143675+155000</f>
        <v>6045675</v>
      </c>
      <c r="H186" s="23"/>
      <c r="I186" s="91"/>
      <c r="M186" s="91"/>
      <c r="N186" s="91"/>
      <c r="O186" s="91"/>
      <c r="P186" s="91"/>
      <c r="R186" s="91"/>
    </row>
    <row r="187" spans="1:18" ht="12.75">
      <c r="A187" s="31">
        <v>2</v>
      </c>
      <c r="B187" s="41" t="s">
        <v>209</v>
      </c>
      <c r="C187" s="42">
        <v>54325</v>
      </c>
      <c r="D187" s="43"/>
      <c r="E187" s="22">
        <f>C187+D187</f>
        <v>54325</v>
      </c>
      <c r="F187" s="22"/>
      <c r="G187" s="22">
        <f>53000+1325</f>
        <v>54325</v>
      </c>
      <c r="H187" s="23"/>
      <c r="I187" s="91"/>
      <c r="M187" s="91"/>
      <c r="N187" s="91"/>
      <c r="O187" s="91"/>
      <c r="P187" s="91"/>
      <c r="R187" s="91"/>
    </row>
    <row r="188" spans="1:18" ht="25.5">
      <c r="A188" s="31">
        <v>3</v>
      </c>
      <c r="B188" s="41" t="s">
        <v>210</v>
      </c>
      <c r="C188" s="42">
        <v>987337</v>
      </c>
      <c r="D188" s="43"/>
      <c r="E188" s="22">
        <f>C188+D188</f>
        <v>987337</v>
      </c>
      <c r="F188" s="22"/>
      <c r="G188" s="22">
        <f>963255+24082</f>
        <v>987337</v>
      </c>
      <c r="H188" s="23"/>
      <c r="I188" s="91"/>
      <c r="M188" s="91"/>
      <c r="N188" s="91"/>
      <c r="O188" s="91"/>
      <c r="P188" s="91"/>
      <c r="R188" s="91"/>
    </row>
    <row r="189" spans="1:18" ht="12.75">
      <c r="A189" s="31">
        <v>4</v>
      </c>
      <c r="B189" s="41" t="s">
        <v>154</v>
      </c>
      <c r="C189" s="42">
        <v>1924000</v>
      </c>
      <c r="D189" s="43"/>
      <c r="E189" s="22">
        <f>C189+D189</f>
        <v>1924000</v>
      </c>
      <c r="F189" s="22"/>
      <c r="G189" s="22">
        <f>1282000+642000</f>
        <v>1924000</v>
      </c>
      <c r="H189" s="23"/>
      <c r="I189" s="91"/>
      <c r="M189" s="91"/>
      <c r="N189" s="91"/>
      <c r="O189" s="91"/>
      <c r="P189" s="91"/>
      <c r="R189" s="91"/>
    </row>
    <row r="190" spans="1:18" ht="12.75">
      <c r="A190" s="31">
        <v>5</v>
      </c>
      <c r="B190" s="41" t="s">
        <v>155</v>
      </c>
      <c r="C190" s="42">
        <v>255000</v>
      </c>
      <c r="D190" s="43"/>
      <c r="E190" s="22">
        <f>C190+D190</f>
        <v>255000</v>
      </c>
      <c r="F190" s="22"/>
      <c r="G190" s="22">
        <v>255000</v>
      </c>
      <c r="H190" s="23"/>
      <c r="I190" s="91"/>
      <c r="M190" s="91"/>
      <c r="N190" s="91"/>
      <c r="O190" s="91"/>
      <c r="P190" s="91"/>
      <c r="R190" s="91"/>
    </row>
    <row r="191" spans="1:18" ht="12.75">
      <c r="A191" s="31"/>
      <c r="B191" s="97" t="s">
        <v>156</v>
      </c>
      <c r="C191" s="60">
        <f aca="true" t="shared" si="39" ref="C191:H191">SUM(C192:C194)</f>
        <v>137000</v>
      </c>
      <c r="D191" s="60">
        <f t="shared" si="39"/>
        <v>0</v>
      </c>
      <c r="E191" s="60">
        <f t="shared" si="39"/>
        <v>137000</v>
      </c>
      <c r="F191" s="60">
        <f t="shared" si="39"/>
        <v>0</v>
      </c>
      <c r="G191" s="60">
        <f t="shared" si="39"/>
        <v>137000</v>
      </c>
      <c r="H191" s="60">
        <f t="shared" si="39"/>
        <v>0</v>
      </c>
      <c r="I191" s="91"/>
      <c r="M191" s="91"/>
      <c r="N191" s="91"/>
      <c r="O191" s="91"/>
      <c r="P191" s="91"/>
      <c r="R191" s="91"/>
    </row>
    <row r="192" spans="1:18" ht="12.75">
      <c r="A192" s="31">
        <v>6</v>
      </c>
      <c r="B192" s="41" t="s">
        <v>157</v>
      </c>
      <c r="C192" s="20">
        <v>25000</v>
      </c>
      <c r="D192" s="43"/>
      <c r="E192" s="22">
        <f>C192+D192</f>
        <v>25000</v>
      </c>
      <c r="F192" s="22"/>
      <c r="G192" s="22">
        <v>25000</v>
      </c>
      <c r="H192" s="23"/>
      <c r="I192" s="91"/>
      <c r="M192" s="91"/>
      <c r="N192" s="91"/>
      <c r="O192" s="91"/>
      <c r="P192" s="91"/>
      <c r="R192" s="91"/>
    </row>
    <row r="193" spans="1:18" ht="25.5">
      <c r="A193" s="31">
        <v>7</v>
      </c>
      <c r="B193" s="41" t="s">
        <v>158</v>
      </c>
      <c r="C193" s="20">
        <v>32000</v>
      </c>
      <c r="D193" s="43"/>
      <c r="E193" s="22">
        <f>C193+D193</f>
        <v>32000</v>
      </c>
      <c r="F193" s="22"/>
      <c r="G193" s="22">
        <f>70000-38000</f>
        <v>32000</v>
      </c>
      <c r="H193" s="23"/>
      <c r="I193" s="91"/>
      <c r="M193" s="91"/>
      <c r="N193" s="91"/>
      <c r="O193" s="91"/>
      <c r="P193" s="91"/>
      <c r="R193" s="91"/>
    </row>
    <row r="194" spans="1:18" ht="12.75">
      <c r="A194" s="31">
        <v>8</v>
      </c>
      <c r="B194" s="41" t="s">
        <v>192</v>
      </c>
      <c r="C194" s="20">
        <v>80000</v>
      </c>
      <c r="D194" s="43"/>
      <c r="E194" s="22">
        <f>C194+D194</f>
        <v>80000</v>
      </c>
      <c r="F194" s="22"/>
      <c r="G194" s="22">
        <v>80000</v>
      </c>
      <c r="H194" s="23"/>
      <c r="I194" s="91"/>
      <c r="M194" s="91"/>
      <c r="N194" s="91"/>
      <c r="O194" s="91"/>
      <c r="P194" s="91"/>
      <c r="R194" s="91"/>
    </row>
    <row r="195" spans="1:18" ht="12.75">
      <c r="A195" s="31"/>
      <c r="B195" s="97" t="s">
        <v>159</v>
      </c>
      <c r="C195" s="60">
        <f>SUM(C196:C206)</f>
        <v>321000</v>
      </c>
      <c r="D195" s="60">
        <f>SUM(D196:D206)</f>
        <v>47500</v>
      </c>
      <c r="E195" s="60">
        <f>SUM(E196:E206)</f>
        <v>368500</v>
      </c>
      <c r="F195" s="60">
        <f>SUM(F196:F206)</f>
        <v>0</v>
      </c>
      <c r="G195" s="60">
        <f>SUM(G196:G206)</f>
        <v>368500</v>
      </c>
      <c r="H195" s="60">
        <f>SUM(H196:H206)</f>
        <v>0</v>
      </c>
      <c r="I195" s="91"/>
      <c r="M195" s="91"/>
      <c r="N195" s="91"/>
      <c r="O195" s="91"/>
      <c r="P195" s="91"/>
      <c r="R195" s="91"/>
    </row>
    <row r="196" spans="1:18" ht="25.5">
      <c r="A196" s="31">
        <v>9</v>
      </c>
      <c r="B196" s="41" t="s">
        <v>160</v>
      </c>
      <c r="C196" s="42">
        <v>20000</v>
      </c>
      <c r="D196" s="43"/>
      <c r="E196" s="22">
        <f aca="true" t="shared" si="40" ref="E196:E206">C196+D196</f>
        <v>20000</v>
      </c>
      <c r="F196" s="22"/>
      <c r="G196" s="22">
        <f>75500-55500</f>
        <v>20000</v>
      </c>
      <c r="H196" s="23"/>
      <c r="I196" s="91"/>
      <c r="M196" s="91"/>
      <c r="N196" s="91"/>
      <c r="O196" s="91"/>
      <c r="P196" s="91"/>
      <c r="R196" s="91"/>
    </row>
    <row r="197" spans="1:18" ht="12.75">
      <c r="A197" s="31">
        <v>10</v>
      </c>
      <c r="B197" s="41" t="s">
        <v>161</v>
      </c>
      <c r="C197" s="42">
        <v>40000</v>
      </c>
      <c r="D197" s="43"/>
      <c r="E197" s="22">
        <f t="shared" si="40"/>
        <v>40000</v>
      </c>
      <c r="F197" s="22"/>
      <c r="G197" s="22">
        <v>40000</v>
      </c>
      <c r="H197" s="23"/>
      <c r="I197" s="91"/>
      <c r="M197" s="91"/>
      <c r="N197" s="91"/>
      <c r="O197" s="91"/>
      <c r="P197" s="91"/>
      <c r="R197" s="91"/>
    </row>
    <row r="198" spans="1:18" ht="12.75">
      <c r="A198" s="31">
        <v>11</v>
      </c>
      <c r="B198" s="41" t="s">
        <v>162</v>
      </c>
      <c r="C198" s="42">
        <v>40000</v>
      </c>
      <c r="D198" s="43"/>
      <c r="E198" s="22">
        <f t="shared" si="40"/>
        <v>40000</v>
      </c>
      <c r="F198" s="22"/>
      <c r="G198" s="22">
        <v>40000</v>
      </c>
      <c r="H198" s="23"/>
      <c r="I198" s="91"/>
      <c r="M198" s="91"/>
      <c r="N198" s="91"/>
      <c r="O198" s="91"/>
      <c r="P198" s="91"/>
      <c r="R198" s="91"/>
    </row>
    <row r="199" spans="1:18" ht="25.5">
      <c r="A199" s="31">
        <v>12</v>
      </c>
      <c r="B199" s="41" t="s">
        <v>163</v>
      </c>
      <c r="C199" s="42">
        <v>47000</v>
      </c>
      <c r="D199" s="43"/>
      <c r="E199" s="22">
        <f t="shared" si="40"/>
        <v>47000</v>
      </c>
      <c r="F199" s="22"/>
      <c r="G199" s="22">
        <f>80000-33000</f>
        <v>47000</v>
      </c>
      <c r="H199" s="23"/>
      <c r="I199" s="91"/>
      <c r="M199" s="91"/>
      <c r="N199" s="91"/>
      <c r="O199" s="91"/>
      <c r="P199" s="91"/>
      <c r="R199" s="91"/>
    </row>
    <row r="200" spans="1:18" ht="12.75">
      <c r="A200" s="31">
        <v>13</v>
      </c>
      <c r="B200" s="41" t="s">
        <v>164</v>
      </c>
      <c r="C200" s="42">
        <v>114000</v>
      </c>
      <c r="D200" s="43"/>
      <c r="E200" s="22">
        <f t="shared" si="40"/>
        <v>114000</v>
      </c>
      <c r="F200" s="22"/>
      <c r="G200" s="22">
        <f>210000-96000</f>
        <v>114000</v>
      </c>
      <c r="H200" s="23"/>
      <c r="I200" s="91"/>
      <c r="M200" s="91"/>
      <c r="N200" s="91"/>
      <c r="O200" s="91"/>
      <c r="P200" s="91"/>
      <c r="R200" s="91"/>
    </row>
    <row r="201" spans="1:18" ht="12.75">
      <c r="A201" s="31">
        <v>14</v>
      </c>
      <c r="B201" s="41" t="s">
        <v>165</v>
      </c>
      <c r="C201" s="42">
        <v>45000</v>
      </c>
      <c r="D201" s="43"/>
      <c r="E201" s="22">
        <f t="shared" si="40"/>
        <v>45000</v>
      </c>
      <c r="F201" s="22"/>
      <c r="G201" s="22">
        <v>45000</v>
      </c>
      <c r="H201" s="23"/>
      <c r="I201" s="91"/>
      <c r="M201" s="91"/>
      <c r="N201" s="91"/>
      <c r="O201" s="91"/>
      <c r="P201" s="91"/>
      <c r="R201" s="91"/>
    </row>
    <row r="202" spans="1:18" ht="12.75">
      <c r="A202" s="31">
        <v>15</v>
      </c>
      <c r="B202" s="41" t="s">
        <v>193</v>
      </c>
      <c r="C202" s="42">
        <v>15000</v>
      </c>
      <c r="D202" s="43"/>
      <c r="E202" s="22">
        <f t="shared" si="40"/>
        <v>15000</v>
      </c>
      <c r="F202" s="22"/>
      <c r="G202" s="22">
        <v>15000</v>
      </c>
      <c r="H202" s="23"/>
      <c r="I202" s="91"/>
      <c r="M202" s="91"/>
      <c r="N202" s="91"/>
      <c r="O202" s="91"/>
      <c r="P202" s="91"/>
      <c r="R202" s="91"/>
    </row>
    <row r="203" spans="1:18" s="17" customFormat="1" ht="12.75">
      <c r="A203" s="31">
        <v>16</v>
      </c>
      <c r="B203" s="41" t="s">
        <v>234</v>
      </c>
      <c r="C203" s="42"/>
      <c r="D203" s="43">
        <v>21000</v>
      </c>
      <c r="E203" s="22">
        <f t="shared" si="40"/>
        <v>21000</v>
      </c>
      <c r="F203" s="22"/>
      <c r="G203" s="22">
        <v>21000</v>
      </c>
      <c r="H203" s="23"/>
      <c r="I203" s="93"/>
      <c r="M203" s="93"/>
      <c r="N203" s="93"/>
      <c r="O203" s="93"/>
      <c r="P203" s="93"/>
      <c r="R203" s="93"/>
    </row>
    <row r="204" spans="1:18" s="17" customFormat="1" ht="12.75">
      <c r="A204" s="31">
        <v>17</v>
      </c>
      <c r="B204" s="41" t="s">
        <v>235</v>
      </c>
      <c r="C204" s="42"/>
      <c r="D204" s="43">
        <v>7000</v>
      </c>
      <c r="E204" s="22">
        <f t="shared" si="40"/>
        <v>7000</v>
      </c>
      <c r="F204" s="22"/>
      <c r="G204" s="22">
        <v>7000</v>
      </c>
      <c r="H204" s="23"/>
      <c r="I204" s="93"/>
      <c r="M204" s="93"/>
      <c r="N204" s="93"/>
      <c r="O204" s="93"/>
      <c r="P204" s="93"/>
      <c r="R204" s="93"/>
    </row>
    <row r="205" spans="1:18" s="17" customFormat="1" ht="12.75">
      <c r="A205" s="31">
        <v>18</v>
      </c>
      <c r="B205" s="41" t="s">
        <v>238</v>
      </c>
      <c r="C205" s="42"/>
      <c r="D205" s="43">
        <v>15000</v>
      </c>
      <c r="E205" s="22">
        <f t="shared" si="40"/>
        <v>15000</v>
      </c>
      <c r="F205" s="22"/>
      <c r="G205" s="22">
        <v>15000</v>
      </c>
      <c r="H205" s="23"/>
      <c r="I205" s="93"/>
      <c r="M205" s="93"/>
      <c r="N205" s="93"/>
      <c r="O205" s="93"/>
      <c r="P205" s="93"/>
      <c r="R205" s="93"/>
    </row>
    <row r="206" spans="1:18" s="17" customFormat="1" ht="12.75">
      <c r="A206" s="31">
        <v>19</v>
      </c>
      <c r="B206" s="41" t="s">
        <v>236</v>
      </c>
      <c r="C206" s="42"/>
      <c r="D206" s="43">
        <v>4500</v>
      </c>
      <c r="E206" s="22">
        <f t="shared" si="40"/>
        <v>4500</v>
      </c>
      <c r="F206" s="22"/>
      <c r="G206" s="22">
        <v>4500</v>
      </c>
      <c r="H206" s="23"/>
      <c r="I206" s="93"/>
      <c r="M206" s="93"/>
      <c r="N206" s="93"/>
      <c r="O206" s="93"/>
      <c r="P206" s="93"/>
      <c r="R206" s="93"/>
    </row>
    <row r="207" spans="1:18" ht="12.75">
      <c r="A207" s="31"/>
      <c r="B207" s="97" t="s">
        <v>166</v>
      </c>
      <c r="C207" s="60">
        <f>SUM(C208:C211)</f>
        <v>383150</v>
      </c>
      <c r="D207" s="60">
        <f>SUM(D208:D211)</f>
        <v>0</v>
      </c>
      <c r="E207" s="60">
        <f>SUM(E208:E211)</f>
        <v>383150</v>
      </c>
      <c r="F207" s="60">
        <f>SUM(F208:F211)</f>
        <v>0</v>
      </c>
      <c r="G207" s="60">
        <f>SUM(G208:G211)</f>
        <v>383150</v>
      </c>
      <c r="H207" s="60">
        <f>SUM(H208:H211)</f>
        <v>0</v>
      </c>
      <c r="I207" s="91"/>
      <c r="M207" s="91"/>
      <c r="N207" s="91"/>
      <c r="O207" s="91"/>
      <c r="P207" s="91"/>
      <c r="R207" s="91"/>
    </row>
    <row r="208" spans="1:18" ht="12.75">
      <c r="A208" s="31">
        <v>20</v>
      </c>
      <c r="B208" s="41" t="s">
        <v>167</v>
      </c>
      <c r="C208" s="42">
        <v>77150</v>
      </c>
      <c r="D208" s="43"/>
      <c r="E208" s="22">
        <f>C208+D208</f>
        <v>77150</v>
      </c>
      <c r="F208" s="22"/>
      <c r="G208" s="22">
        <v>77150</v>
      </c>
      <c r="H208" s="23"/>
      <c r="I208" s="91"/>
      <c r="M208" s="91"/>
      <c r="N208" s="91"/>
      <c r="O208" s="91"/>
      <c r="P208" s="91"/>
      <c r="R208" s="91"/>
    </row>
    <row r="209" spans="1:18" ht="12.75">
      <c r="A209" s="18">
        <v>21</v>
      </c>
      <c r="B209" s="41" t="s">
        <v>168</v>
      </c>
      <c r="C209" s="42">
        <v>10000</v>
      </c>
      <c r="D209" s="43"/>
      <c r="E209" s="22">
        <f>C209+D209</f>
        <v>10000</v>
      </c>
      <c r="F209" s="22"/>
      <c r="G209" s="22">
        <v>10000</v>
      </c>
      <c r="H209" s="23"/>
      <c r="I209" s="91"/>
      <c r="M209" s="91"/>
      <c r="N209" s="91"/>
      <c r="O209" s="91"/>
      <c r="P209" s="91"/>
      <c r="R209" s="91"/>
    </row>
    <row r="210" spans="1:18" ht="12.75">
      <c r="A210" s="31">
        <v>22</v>
      </c>
      <c r="B210" s="41" t="s">
        <v>169</v>
      </c>
      <c r="C210" s="42">
        <v>174000</v>
      </c>
      <c r="D210" s="43"/>
      <c r="E210" s="22">
        <f>C210+D210</f>
        <v>174000</v>
      </c>
      <c r="F210" s="22"/>
      <c r="G210" s="22">
        <f>250000-76000</f>
        <v>174000</v>
      </c>
      <c r="H210" s="23"/>
      <c r="I210" s="91"/>
      <c r="M210" s="91"/>
      <c r="N210" s="91"/>
      <c r="O210" s="91"/>
      <c r="P210" s="91"/>
      <c r="R210" s="91"/>
    </row>
    <row r="211" spans="1:18" ht="12.75">
      <c r="A211" s="18">
        <v>23</v>
      </c>
      <c r="B211" s="41" t="s">
        <v>170</v>
      </c>
      <c r="C211" s="42">
        <v>122000</v>
      </c>
      <c r="D211" s="43"/>
      <c r="E211" s="22">
        <f>C211+D211</f>
        <v>122000</v>
      </c>
      <c r="F211" s="22"/>
      <c r="G211" s="22">
        <f>250000-32582-95418</f>
        <v>122000</v>
      </c>
      <c r="H211" s="23"/>
      <c r="I211" s="91"/>
      <c r="M211" s="91"/>
      <c r="N211" s="91"/>
      <c r="O211" s="91"/>
      <c r="P211" s="91"/>
      <c r="R211" s="91"/>
    </row>
    <row r="212" spans="1:18" ht="12.75">
      <c r="A212" s="31"/>
      <c r="B212" s="97" t="s">
        <v>171</v>
      </c>
      <c r="C212" s="60">
        <f>SUM(C213:C224)</f>
        <v>1193690</v>
      </c>
      <c r="D212" s="60">
        <f>SUM(D213:D224)</f>
        <v>38100</v>
      </c>
      <c r="E212" s="60">
        <f>SUM(E213:E224)</f>
        <v>1231790</v>
      </c>
      <c r="F212" s="60">
        <f>SUM(F213:F224)</f>
        <v>0</v>
      </c>
      <c r="G212" s="60">
        <f>SUM(G213:G224)</f>
        <v>1231790</v>
      </c>
      <c r="H212" s="60">
        <f>SUM(H213:H224)</f>
        <v>0</v>
      </c>
      <c r="I212" s="91"/>
      <c r="M212" s="91"/>
      <c r="N212" s="91"/>
      <c r="O212" s="91"/>
      <c r="P212" s="91"/>
      <c r="R212" s="91"/>
    </row>
    <row r="213" spans="1:18" ht="25.5">
      <c r="A213" s="31">
        <v>24</v>
      </c>
      <c r="B213" s="41" t="s">
        <v>172</v>
      </c>
      <c r="C213" s="42">
        <v>275000</v>
      </c>
      <c r="D213" s="43"/>
      <c r="E213" s="22">
        <f aca="true" t="shared" si="41" ref="E213:E224">C213+D213</f>
        <v>275000</v>
      </c>
      <c r="F213" s="22"/>
      <c r="G213" s="22">
        <v>275000</v>
      </c>
      <c r="H213" s="23"/>
      <c r="I213" s="91"/>
      <c r="M213" s="91"/>
      <c r="N213" s="91"/>
      <c r="O213" s="91"/>
      <c r="P213" s="91"/>
      <c r="R213" s="91"/>
    </row>
    <row r="214" spans="1:18" ht="25.5">
      <c r="A214" s="31">
        <v>25</v>
      </c>
      <c r="B214" s="41" t="s">
        <v>173</v>
      </c>
      <c r="C214" s="42">
        <v>275000</v>
      </c>
      <c r="D214" s="43"/>
      <c r="E214" s="22">
        <f t="shared" si="41"/>
        <v>275000</v>
      </c>
      <c r="F214" s="22"/>
      <c r="G214" s="22">
        <f>150000+125000</f>
        <v>275000</v>
      </c>
      <c r="H214" s="23"/>
      <c r="I214" s="91"/>
      <c r="M214" s="91"/>
      <c r="N214" s="91"/>
      <c r="O214" s="91"/>
      <c r="P214" s="91"/>
      <c r="R214" s="91"/>
    </row>
    <row r="215" spans="1:18" ht="12.75">
      <c r="A215" s="31">
        <v>26</v>
      </c>
      <c r="B215" s="41" t="s">
        <v>174</v>
      </c>
      <c r="C215" s="42">
        <v>0</v>
      </c>
      <c r="D215" s="43"/>
      <c r="E215" s="22">
        <f t="shared" si="41"/>
        <v>0</v>
      </c>
      <c r="F215" s="22"/>
      <c r="G215" s="22">
        <f>25000-25000</f>
        <v>0</v>
      </c>
      <c r="H215" s="23"/>
      <c r="I215" s="91"/>
      <c r="M215" s="91"/>
      <c r="N215" s="91"/>
      <c r="O215" s="91"/>
      <c r="P215" s="91"/>
      <c r="R215" s="91"/>
    </row>
    <row r="216" spans="1:18" ht="12.75">
      <c r="A216" s="31">
        <v>27</v>
      </c>
      <c r="B216" s="41" t="s">
        <v>175</v>
      </c>
      <c r="C216" s="42">
        <v>360000</v>
      </c>
      <c r="D216" s="43"/>
      <c r="E216" s="22">
        <f t="shared" si="41"/>
        <v>360000</v>
      </c>
      <c r="F216" s="22"/>
      <c r="G216" s="22">
        <f>450000-90000</f>
        <v>360000</v>
      </c>
      <c r="H216" s="23"/>
      <c r="I216" s="91"/>
      <c r="M216" s="91"/>
      <c r="N216" s="91"/>
      <c r="O216" s="91"/>
      <c r="P216" s="91"/>
      <c r="R216" s="91"/>
    </row>
    <row r="217" spans="1:18" ht="12.75">
      <c r="A217" s="31">
        <v>28</v>
      </c>
      <c r="B217" s="41" t="s">
        <v>176</v>
      </c>
      <c r="C217" s="42">
        <v>30000</v>
      </c>
      <c r="D217" s="43"/>
      <c r="E217" s="22">
        <f t="shared" si="41"/>
        <v>30000</v>
      </c>
      <c r="F217" s="22"/>
      <c r="G217" s="22">
        <v>30000</v>
      </c>
      <c r="H217" s="23"/>
      <c r="I217" s="91"/>
      <c r="M217" s="91"/>
      <c r="N217" s="91"/>
      <c r="O217" s="91"/>
      <c r="P217" s="91"/>
      <c r="R217" s="91"/>
    </row>
    <row r="218" spans="1:18" ht="12.75">
      <c r="A218" s="31">
        <v>29</v>
      </c>
      <c r="B218" s="41" t="s">
        <v>177</v>
      </c>
      <c r="C218" s="42">
        <v>45000</v>
      </c>
      <c r="D218" s="43"/>
      <c r="E218" s="22">
        <f t="shared" si="41"/>
        <v>45000</v>
      </c>
      <c r="F218" s="22"/>
      <c r="G218" s="22">
        <v>45000</v>
      </c>
      <c r="H218" s="23"/>
      <c r="I218" s="91"/>
      <c r="M218" s="91"/>
      <c r="N218" s="91"/>
      <c r="O218" s="91"/>
      <c r="P218" s="91"/>
      <c r="R218" s="91"/>
    </row>
    <row r="219" spans="1:18" ht="12.75">
      <c r="A219" s="31">
        <v>30</v>
      </c>
      <c r="B219" s="41" t="s">
        <v>178</v>
      </c>
      <c r="C219" s="42">
        <v>30000</v>
      </c>
      <c r="D219" s="43"/>
      <c r="E219" s="22">
        <f t="shared" si="41"/>
        <v>30000</v>
      </c>
      <c r="F219" s="22"/>
      <c r="G219" s="22">
        <v>30000</v>
      </c>
      <c r="H219" s="23"/>
      <c r="I219" s="91"/>
      <c r="M219" s="91"/>
      <c r="N219" s="91"/>
      <c r="O219" s="91"/>
      <c r="P219" s="91"/>
      <c r="R219" s="91"/>
    </row>
    <row r="220" spans="1:18" ht="12.75">
      <c r="A220" s="31">
        <v>31</v>
      </c>
      <c r="B220" s="41" t="s">
        <v>179</v>
      </c>
      <c r="C220" s="42">
        <v>25000</v>
      </c>
      <c r="D220" s="43"/>
      <c r="E220" s="22">
        <f t="shared" si="41"/>
        <v>25000</v>
      </c>
      <c r="F220" s="22"/>
      <c r="G220" s="22">
        <v>25000</v>
      </c>
      <c r="H220" s="23"/>
      <c r="I220" s="91"/>
      <c r="M220" s="91"/>
      <c r="N220" s="91"/>
      <c r="O220" s="91"/>
      <c r="P220" s="91"/>
      <c r="R220" s="91"/>
    </row>
    <row r="221" spans="1:18" ht="12.75">
      <c r="A221" s="31">
        <v>32</v>
      </c>
      <c r="B221" s="41" t="s">
        <v>180</v>
      </c>
      <c r="C221" s="42">
        <v>45000</v>
      </c>
      <c r="D221" s="43"/>
      <c r="E221" s="22">
        <f t="shared" si="41"/>
        <v>45000</v>
      </c>
      <c r="F221" s="22"/>
      <c r="G221" s="22">
        <v>45000</v>
      </c>
      <c r="H221" s="23"/>
      <c r="I221" s="91"/>
      <c r="M221" s="91"/>
      <c r="N221" s="91"/>
      <c r="O221" s="91"/>
      <c r="P221" s="91"/>
      <c r="R221" s="91"/>
    </row>
    <row r="222" spans="1:18" ht="12.75">
      <c r="A222" s="31">
        <v>33</v>
      </c>
      <c r="B222" s="41" t="s">
        <v>181</v>
      </c>
      <c r="C222" s="42">
        <v>108690</v>
      </c>
      <c r="D222" s="43"/>
      <c r="E222" s="22">
        <f t="shared" si="41"/>
        <v>108690</v>
      </c>
      <c r="F222" s="22"/>
      <c r="G222" s="22">
        <f>25000+83690</f>
        <v>108690</v>
      </c>
      <c r="H222" s="23"/>
      <c r="I222" s="91"/>
      <c r="M222" s="91"/>
      <c r="N222" s="91"/>
      <c r="O222" s="91"/>
      <c r="P222" s="91"/>
      <c r="R222" s="91"/>
    </row>
    <row r="223" spans="1:18" s="17" customFormat="1" ht="12.75">
      <c r="A223" s="31">
        <v>34</v>
      </c>
      <c r="B223" s="41" t="s">
        <v>237</v>
      </c>
      <c r="C223" s="42"/>
      <c r="D223" s="43">
        <v>30100</v>
      </c>
      <c r="E223" s="22">
        <f t="shared" si="41"/>
        <v>30100</v>
      </c>
      <c r="F223" s="22"/>
      <c r="G223" s="22">
        <v>30100</v>
      </c>
      <c r="H223" s="23"/>
      <c r="I223" s="93"/>
      <c r="M223" s="93"/>
      <c r="N223" s="93"/>
      <c r="O223" s="93"/>
      <c r="P223" s="93"/>
      <c r="R223" s="93"/>
    </row>
    <row r="224" spans="1:18" s="17" customFormat="1" ht="12.75">
      <c r="A224" s="31">
        <v>35</v>
      </c>
      <c r="B224" s="41" t="s">
        <v>239</v>
      </c>
      <c r="C224" s="42"/>
      <c r="D224" s="43">
        <v>8000</v>
      </c>
      <c r="E224" s="22">
        <f t="shared" si="41"/>
        <v>8000</v>
      </c>
      <c r="F224" s="22"/>
      <c r="G224" s="22">
        <v>8000</v>
      </c>
      <c r="H224" s="23"/>
      <c r="I224" s="93"/>
      <c r="M224" s="93"/>
      <c r="N224" s="93"/>
      <c r="O224" s="93"/>
      <c r="P224" s="93"/>
      <c r="R224" s="93"/>
    </row>
    <row r="225" spans="1:18" ht="12.75">
      <c r="A225" s="78"/>
      <c r="B225" s="97" t="s">
        <v>182</v>
      </c>
      <c r="C225" s="60">
        <f aca="true" t="shared" si="42" ref="C225:H225">C226+C227+C232+C233</f>
        <v>697728</v>
      </c>
      <c r="D225" s="60">
        <f t="shared" si="42"/>
        <v>0</v>
      </c>
      <c r="E225" s="60">
        <f t="shared" si="42"/>
        <v>697728</v>
      </c>
      <c r="F225" s="60">
        <f t="shared" si="42"/>
        <v>0</v>
      </c>
      <c r="G225" s="60">
        <f t="shared" si="42"/>
        <v>697728</v>
      </c>
      <c r="H225" s="60">
        <f t="shared" si="42"/>
        <v>0</v>
      </c>
      <c r="I225" s="91"/>
      <c r="M225" s="91"/>
      <c r="N225" s="91"/>
      <c r="O225" s="91"/>
      <c r="P225" s="91"/>
      <c r="R225" s="91"/>
    </row>
    <row r="226" spans="1:18" ht="12.75">
      <c r="A226" s="31">
        <v>36</v>
      </c>
      <c r="B226" s="41" t="s">
        <v>205</v>
      </c>
      <c r="C226" s="42">
        <v>150000</v>
      </c>
      <c r="D226" s="43"/>
      <c r="E226" s="22">
        <f>C226+D226</f>
        <v>150000</v>
      </c>
      <c r="F226" s="22"/>
      <c r="G226" s="22">
        <f>300000-150000</f>
        <v>150000</v>
      </c>
      <c r="H226" s="23"/>
      <c r="I226" s="91"/>
      <c r="M226" s="91"/>
      <c r="N226" s="91"/>
      <c r="O226" s="91"/>
      <c r="P226" s="91"/>
      <c r="R226" s="91"/>
    </row>
    <row r="227" spans="1:18" ht="25.5">
      <c r="A227" s="31">
        <v>37</v>
      </c>
      <c r="B227" s="41" t="s">
        <v>214</v>
      </c>
      <c r="C227" s="42">
        <v>331728</v>
      </c>
      <c r="D227" s="43"/>
      <c r="E227" s="22">
        <f>C227+D227</f>
        <v>331728</v>
      </c>
      <c r="F227" s="22"/>
      <c r="G227" s="22">
        <f>450000+105000-105000-118272</f>
        <v>331728</v>
      </c>
      <c r="H227" s="23"/>
      <c r="I227" s="91"/>
      <c r="M227" s="91"/>
      <c r="N227" s="91"/>
      <c r="O227" s="91"/>
      <c r="P227" s="91"/>
      <c r="R227" s="91"/>
    </row>
    <row r="228" spans="1:18" ht="25.5">
      <c r="A228" s="31"/>
      <c r="B228" s="41" t="s">
        <v>217</v>
      </c>
      <c r="C228" s="42"/>
      <c r="D228" s="43"/>
      <c r="E228" s="22"/>
      <c r="F228" s="22"/>
      <c r="G228" s="22"/>
      <c r="H228" s="23"/>
      <c r="I228" s="91"/>
      <c r="M228" s="91"/>
      <c r="N228" s="91"/>
      <c r="O228" s="91"/>
      <c r="P228" s="91"/>
      <c r="R228" s="91"/>
    </row>
    <row r="229" spans="1:18" ht="25.5">
      <c r="A229" s="31"/>
      <c r="B229" s="41" t="s">
        <v>216</v>
      </c>
      <c r="C229" s="42"/>
      <c r="D229" s="43"/>
      <c r="E229" s="22"/>
      <c r="F229" s="22"/>
      <c r="G229" s="22"/>
      <c r="H229" s="23"/>
      <c r="I229" s="91"/>
      <c r="M229" s="91"/>
      <c r="N229" s="91"/>
      <c r="O229" s="91"/>
      <c r="P229" s="91"/>
      <c r="R229" s="91"/>
    </row>
    <row r="230" spans="1:18" ht="12.75">
      <c r="A230" s="31"/>
      <c r="B230" s="41" t="s">
        <v>215</v>
      </c>
      <c r="C230" s="42"/>
      <c r="D230" s="43"/>
      <c r="E230" s="22"/>
      <c r="F230" s="22"/>
      <c r="G230" s="22"/>
      <c r="H230" s="23"/>
      <c r="I230" s="91"/>
      <c r="M230" s="91"/>
      <c r="N230" s="91"/>
      <c r="O230" s="91"/>
      <c r="P230" s="91"/>
      <c r="R230" s="91"/>
    </row>
    <row r="231" spans="1:18" ht="25.5">
      <c r="A231" s="31"/>
      <c r="B231" s="41" t="s">
        <v>218</v>
      </c>
      <c r="C231" s="42"/>
      <c r="D231" s="43"/>
      <c r="E231" s="22"/>
      <c r="F231" s="22"/>
      <c r="G231" s="22"/>
      <c r="H231" s="23"/>
      <c r="I231" s="91"/>
      <c r="M231" s="91"/>
      <c r="N231" s="91"/>
      <c r="O231" s="91"/>
      <c r="P231" s="91"/>
      <c r="R231" s="91"/>
    </row>
    <row r="232" spans="1:18" ht="12.75">
      <c r="A232" s="31">
        <v>38</v>
      </c>
      <c r="B232" s="41" t="s">
        <v>206</v>
      </c>
      <c r="C232" s="42">
        <v>176000</v>
      </c>
      <c r="D232" s="43"/>
      <c r="E232" s="22">
        <f>C232+D232</f>
        <v>176000</v>
      </c>
      <c r="F232" s="22"/>
      <c r="G232" s="22">
        <v>176000</v>
      </c>
      <c r="H232" s="23"/>
      <c r="I232" s="91"/>
      <c r="M232" s="91"/>
      <c r="N232" s="91"/>
      <c r="O232" s="91"/>
      <c r="P232" s="91"/>
      <c r="R232" s="91"/>
    </row>
    <row r="233" spans="1:18" ht="12.75">
      <c r="A233" s="31">
        <v>39</v>
      </c>
      <c r="B233" s="41" t="s">
        <v>207</v>
      </c>
      <c r="C233" s="42">
        <v>40000</v>
      </c>
      <c r="D233" s="43"/>
      <c r="E233" s="22">
        <f>C233+D233</f>
        <v>40000</v>
      </c>
      <c r="F233" s="22"/>
      <c r="G233" s="22">
        <v>40000</v>
      </c>
      <c r="H233" s="23"/>
      <c r="I233" s="91"/>
      <c r="M233" s="91"/>
      <c r="N233" s="91"/>
      <c r="O233" s="91"/>
      <c r="P233" s="91"/>
      <c r="R233" s="91"/>
    </row>
    <row r="234" spans="1:18" ht="12.75">
      <c r="A234" s="31"/>
      <c r="B234" s="97" t="s">
        <v>183</v>
      </c>
      <c r="C234" s="60">
        <f aca="true" t="shared" si="43" ref="C234:H234">SUM(C235:C238)</f>
        <v>83000</v>
      </c>
      <c r="D234" s="60">
        <f t="shared" si="43"/>
        <v>0</v>
      </c>
      <c r="E234" s="60">
        <f t="shared" si="43"/>
        <v>83000</v>
      </c>
      <c r="F234" s="60">
        <f t="shared" si="43"/>
        <v>0</v>
      </c>
      <c r="G234" s="60">
        <f t="shared" si="43"/>
        <v>83000</v>
      </c>
      <c r="H234" s="60">
        <f t="shared" si="43"/>
        <v>0</v>
      </c>
      <c r="I234" s="91"/>
      <c r="M234" s="91"/>
      <c r="N234" s="91"/>
      <c r="O234" s="91"/>
      <c r="P234" s="91"/>
      <c r="R234" s="91"/>
    </row>
    <row r="235" spans="1:18" ht="25.5">
      <c r="A235" s="31">
        <v>40</v>
      </c>
      <c r="B235" s="41" t="s">
        <v>184</v>
      </c>
      <c r="C235" s="42">
        <v>26000</v>
      </c>
      <c r="D235" s="43"/>
      <c r="E235" s="22">
        <f>C235+D235</f>
        <v>26000</v>
      </c>
      <c r="F235" s="22"/>
      <c r="G235" s="22">
        <f>60000-34000</f>
        <v>26000</v>
      </c>
      <c r="H235" s="23"/>
      <c r="I235" s="91"/>
      <c r="M235" s="91"/>
      <c r="N235" s="91"/>
      <c r="O235" s="91"/>
      <c r="P235" s="91"/>
      <c r="R235" s="91"/>
    </row>
    <row r="236" spans="1:18" ht="12.75">
      <c r="A236" s="31">
        <v>41</v>
      </c>
      <c r="B236" s="41" t="s">
        <v>185</v>
      </c>
      <c r="C236" s="42">
        <v>12000</v>
      </c>
      <c r="D236" s="43"/>
      <c r="E236" s="22">
        <f>C236+D236</f>
        <v>12000</v>
      </c>
      <c r="F236" s="22"/>
      <c r="G236" s="22">
        <v>12000</v>
      </c>
      <c r="H236" s="23"/>
      <c r="I236" s="91"/>
      <c r="M236" s="91"/>
      <c r="N236" s="91"/>
      <c r="O236" s="91"/>
      <c r="P236" s="91"/>
      <c r="R236" s="91"/>
    </row>
    <row r="237" spans="1:18" ht="12.75">
      <c r="A237" s="31">
        <v>42</v>
      </c>
      <c r="B237" s="41" t="s">
        <v>186</v>
      </c>
      <c r="C237" s="42">
        <v>10000</v>
      </c>
      <c r="D237" s="43"/>
      <c r="E237" s="22">
        <f>C237+D237</f>
        <v>10000</v>
      </c>
      <c r="F237" s="22"/>
      <c r="G237" s="22">
        <v>10000</v>
      </c>
      <c r="H237" s="23"/>
      <c r="I237" s="91"/>
      <c r="M237" s="91"/>
      <c r="N237" s="91"/>
      <c r="O237" s="91"/>
      <c r="P237" s="91"/>
      <c r="R237" s="91"/>
    </row>
    <row r="238" spans="1:18" ht="12.75">
      <c r="A238" s="31">
        <v>43</v>
      </c>
      <c r="B238" s="41" t="s">
        <v>187</v>
      </c>
      <c r="C238" s="42">
        <v>35000</v>
      </c>
      <c r="D238" s="43"/>
      <c r="E238" s="22">
        <f>C238+D238</f>
        <v>35000</v>
      </c>
      <c r="F238" s="22"/>
      <c r="G238" s="22">
        <v>35000</v>
      </c>
      <c r="H238" s="23"/>
      <c r="I238" s="91"/>
      <c r="M238" s="91"/>
      <c r="N238" s="91"/>
      <c r="O238" s="91"/>
      <c r="P238" s="91"/>
      <c r="R238" s="91"/>
    </row>
    <row r="239" ht="12.75">
      <c r="C239" s="68"/>
    </row>
    <row r="240" ht="12.75">
      <c r="C240" s="68"/>
    </row>
    <row r="241" ht="12.75">
      <c r="C241" s="68"/>
    </row>
    <row r="242" ht="12.75">
      <c r="C242" s="68"/>
    </row>
    <row r="243" ht="12.75">
      <c r="C243" s="68"/>
    </row>
    <row r="244" ht="12.75">
      <c r="C244" s="68"/>
    </row>
    <row r="245" ht="12.75">
      <c r="C245" s="68"/>
    </row>
    <row r="246" ht="12.75">
      <c r="C246" s="68"/>
    </row>
    <row r="247" ht="12.75">
      <c r="C247" s="68"/>
    </row>
    <row r="248" ht="12.75">
      <c r="C248" s="68"/>
    </row>
    <row r="249" ht="12.75">
      <c r="C249" s="68"/>
    </row>
    <row r="250" ht="12.75">
      <c r="C250" s="68"/>
    </row>
    <row r="251" ht="12.75">
      <c r="C251" s="68"/>
    </row>
    <row r="252" ht="12.75">
      <c r="C252" s="68"/>
    </row>
    <row r="253" ht="12.75">
      <c r="C253" s="68"/>
    </row>
    <row r="254" ht="12.75">
      <c r="C254" s="68"/>
    </row>
    <row r="255" ht="12.75">
      <c r="C255" s="68"/>
    </row>
    <row r="256" ht="12.75">
      <c r="C256" s="68"/>
    </row>
    <row r="257" ht="12.75">
      <c r="C257" s="68"/>
    </row>
    <row r="258" ht="12.75">
      <c r="C258" s="68"/>
    </row>
    <row r="259" ht="12.75">
      <c r="C259" s="68"/>
    </row>
    <row r="260" ht="12.75">
      <c r="C260" s="68"/>
    </row>
    <row r="261" ht="12.75">
      <c r="C261" s="68"/>
    </row>
    <row r="262" ht="12.75">
      <c r="C262" s="68"/>
    </row>
    <row r="263" ht="12.75">
      <c r="C263" s="68"/>
    </row>
    <row r="264" ht="12.75">
      <c r="C264" s="68"/>
    </row>
    <row r="265" ht="12.75">
      <c r="C265" s="68"/>
    </row>
    <row r="266" ht="12.75">
      <c r="C266" s="68"/>
    </row>
    <row r="267" ht="12.75">
      <c r="C267" s="68"/>
    </row>
    <row r="268" ht="12.75">
      <c r="C268" s="68"/>
    </row>
    <row r="269" ht="12.75">
      <c r="C269" s="68"/>
    </row>
    <row r="270" ht="12.75">
      <c r="C270" s="68"/>
    </row>
    <row r="271" ht="12.75">
      <c r="C271" s="68"/>
    </row>
    <row r="272" ht="12.75">
      <c r="C272" s="68"/>
    </row>
    <row r="273" ht="12.75">
      <c r="C273" s="68"/>
    </row>
    <row r="274" ht="12.75">
      <c r="C274" s="68"/>
    </row>
    <row r="275" ht="12.75">
      <c r="C275" s="68"/>
    </row>
    <row r="276" ht="12.75">
      <c r="C276" s="68"/>
    </row>
    <row r="277" ht="12.75">
      <c r="C277" s="68"/>
    </row>
    <row r="278" ht="12.75">
      <c r="C278" s="68"/>
    </row>
    <row r="279" ht="12.75">
      <c r="C279" s="68"/>
    </row>
    <row r="280" ht="12.75">
      <c r="C280" s="68"/>
    </row>
    <row r="281" ht="12.75">
      <c r="C281" s="68"/>
    </row>
    <row r="282" ht="12.75">
      <c r="C282" s="68"/>
    </row>
    <row r="283" ht="12.75">
      <c r="C283" s="68"/>
    </row>
    <row r="284" ht="12.75">
      <c r="C284" s="68"/>
    </row>
    <row r="285" ht="12.75">
      <c r="C285" s="68"/>
    </row>
    <row r="286" ht="12.75">
      <c r="C286" s="68"/>
    </row>
    <row r="287" ht="12.75">
      <c r="C287" s="68"/>
    </row>
    <row r="288" ht="12.75">
      <c r="C288" s="68"/>
    </row>
    <row r="289" ht="12.75">
      <c r="C289" s="68"/>
    </row>
    <row r="290" ht="12.75">
      <c r="C290" s="68"/>
    </row>
    <row r="291" ht="12.75">
      <c r="C291" s="68"/>
    </row>
    <row r="292" ht="12.75">
      <c r="C292" s="68"/>
    </row>
    <row r="293" ht="12.75">
      <c r="C293" s="68"/>
    </row>
    <row r="294" ht="12.75">
      <c r="C294" s="68"/>
    </row>
    <row r="295" ht="12.75">
      <c r="C295" s="68"/>
    </row>
    <row r="296" ht="12.75">
      <c r="C296" s="68"/>
    </row>
    <row r="297" ht="12.75">
      <c r="C297" s="68"/>
    </row>
    <row r="298" ht="12.75">
      <c r="C298" s="68"/>
    </row>
    <row r="299" ht="12.75">
      <c r="C299" s="68"/>
    </row>
    <row r="300" ht="12.75">
      <c r="C300" s="68"/>
    </row>
    <row r="301" ht="12.75">
      <c r="C301" s="68"/>
    </row>
    <row r="302" ht="12.75">
      <c r="C302" s="68"/>
    </row>
    <row r="303" ht="12.75">
      <c r="C303" s="68"/>
    </row>
    <row r="304" ht="12.75">
      <c r="C304" s="68"/>
    </row>
    <row r="305" ht="12.75">
      <c r="C305" s="68"/>
    </row>
    <row r="306" ht="12.75">
      <c r="C306" s="68"/>
    </row>
    <row r="307" ht="12.75">
      <c r="C307" s="68"/>
    </row>
    <row r="308" ht="12.75">
      <c r="C308" s="68"/>
    </row>
    <row r="309" ht="12.75">
      <c r="C309" s="68"/>
    </row>
    <row r="310" ht="12.75">
      <c r="C310" s="68"/>
    </row>
    <row r="311" ht="12.75">
      <c r="C311" s="68"/>
    </row>
    <row r="312" ht="12.75">
      <c r="C312" s="68"/>
    </row>
    <row r="313" ht="12.75">
      <c r="C313" s="68"/>
    </row>
    <row r="314" ht="12.75">
      <c r="C314" s="68"/>
    </row>
    <row r="315" ht="12.75">
      <c r="C315" s="68"/>
    </row>
  </sheetData>
  <autoFilter ref="A4:I238"/>
  <mergeCells count="12">
    <mergeCell ref="A122:A124"/>
    <mergeCell ref="A115:A116"/>
    <mergeCell ref="A117:A120"/>
    <mergeCell ref="A109:A111"/>
    <mergeCell ref="A112:A114"/>
    <mergeCell ref="F2:H2"/>
    <mergeCell ref="E2:E3"/>
    <mergeCell ref="A107:A108"/>
    <mergeCell ref="A2:A3"/>
    <mergeCell ref="B2:B3"/>
    <mergeCell ref="C2:C3"/>
    <mergeCell ref="D2:D3"/>
  </mergeCells>
  <printOptions horizontalCentered="1"/>
  <pageMargins left="0.4724409448818898" right="0.11811023622047245" top="1.0236220472440944" bottom="0.4724409448818898" header="0.15748031496062992" footer="0.1968503937007874"/>
  <pageSetup horizontalDpi="600" verticalDpi="600" orientation="landscape" r:id="rId1"/>
  <headerFooter alignWithMargins="0">
    <oddHeader>&amp;L&amp;"Arial,Aldin"ROMÂNIA
JUDEŢUL MUREŞ
CONSILIUL JUDEŢEAN &amp;C
&amp;"Arial,Aldin"PROGRAM INVESTIŢII PE ANUL 2009&amp;R&amp;"Arial,Aldin"ANEXA nr. 6/c la HCJM nr.____/__________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Csaba_F</cp:lastModifiedBy>
  <cp:lastPrinted>2009-11-25T13:05:38Z</cp:lastPrinted>
  <dcterms:created xsi:type="dcterms:W3CDTF">2009-06-15T11:01:22Z</dcterms:created>
  <dcterms:modified xsi:type="dcterms:W3CDTF">2009-11-26T06:38:43Z</dcterms:modified>
  <cp:category/>
  <cp:version/>
  <cp:contentType/>
  <cp:contentStatus/>
</cp:coreProperties>
</file>