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anexa 7h" sheetId="1" r:id="rId1"/>
  </sheets>
  <definedNames>
    <definedName name="_xlnm.Print_Titles" localSheetId="0">'anexa 7h'!$2:$5</definedName>
  </definedNames>
  <calcPr fullCalcOnLoad="1"/>
</workbook>
</file>

<file path=xl/sharedStrings.xml><?xml version="1.0" encoding="utf-8"?>
<sst xmlns="http://schemas.openxmlformats.org/spreadsheetml/2006/main" count="448" uniqueCount="268">
  <si>
    <t>Nr. crt.</t>
  </si>
  <si>
    <t>Denumirea obiectivului de investiţie</t>
  </si>
  <si>
    <t>Total cap.51</t>
  </si>
  <si>
    <t>51.A</t>
  </si>
  <si>
    <t>Amenajare şi reabilitare pentru conversie spaţiu, din spaţiu hotelier în spaţiu administrativ</t>
  </si>
  <si>
    <t>51.B</t>
  </si>
  <si>
    <t>Program de protecţie a monumentelor istorice în judeţul Mureş</t>
  </si>
  <si>
    <t>Instalare fibră optică Palat administrativ şi complex Parc</t>
  </si>
  <si>
    <t>51.C</t>
  </si>
  <si>
    <t>Servicii suplimentare de proiectare pentru lucrarea Amenajare şi reabilitare pentru conversie spaţiu, din spaţiu hotelier în spaţiu administrativ</t>
  </si>
  <si>
    <t xml:space="preserve">PT Reparaţii sediu administrativ </t>
  </si>
  <si>
    <t>Reţea de calculatoare (switch, cablare, soft reţea, etc.)</t>
  </si>
  <si>
    <t>Server public</t>
  </si>
  <si>
    <t>Server gestiune economică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</si>
  <si>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</si>
  <si>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</si>
  <si>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</si>
  <si>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</si>
  <si>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</si>
  <si>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</si>
  <si>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</si>
  <si>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</si>
  <si>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Înlocuire conductă de transport apă potabilă în intravilanul municipiului Reghin</t>
  </si>
  <si>
    <t>Total cap.74</t>
  </si>
  <si>
    <t>74.C</t>
  </si>
  <si>
    <t>Asistenţă tehnică din partea proiectantului pe parcursul execuţiei lucrării + diferenţă TVA (PT drum de acces la depozitul de deşeuri comuna Sânpaul)</t>
  </si>
  <si>
    <t>SF privind instalarea unui sistem de încălzire care utilizează energie regenerabilă la spaţiul administrativ din Tg. Mureş, str. Primăriei nr. 2</t>
  </si>
  <si>
    <t xml:space="preserve">Achiziţie teren pentru drum acces la depozit ecologic zonal </t>
  </si>
  <si>
    <t>84.C</t>
  </si>
  <si>
    <t xml:space="preserve">Achiziţii de teren pentru RA AEROPORT TRANSILVANIA Tg. Mureş (extindere pistă) </t>
  </si>
  <si>
    <t>Studiu de oportunitate privind dezvoltarea şi exploatarea aeroporturilor din Cluj-Napoca şi Tg. Mureş</t>
  </si>
  <si>
    <t>SF Lărgire drum judeţean DJ 154J Breaza – Voivodeni – Glodeni</t>
  </si>
  <si>
    <t>Avize Lărgire drum judeţean DJ 154J Breaza – Voivodeni – Glodeni</t>
  </si>
  <si>
    <t>Ranforsări  DJ 151B Ungheni - Căpâlna de Sus - Bahnea</t>
  </si>
  <si>
    <t>Aducerea la parametrii normali a suprafeţei  drumului   DJ 152A Tîrgu Mureş (DN15E) – Band – Iernut (DN15)</t>
  </si>
  <si>
    <t>54</t>
  </si>
  <si>
    <t>54.C</t>
  </si>
  <si>
    <t>Cameră foto digitală</t>
  </si>
  <si>
    <t>Echipament de comunicaţii voce</t>
  </si>
  <si>
    <t>Portbagaj pentru echipament</t>
  </si>
  <si>
    <t>Jachetă scafandru tehnic</t>
  </si>
  <si>
    <t>65.C</t>
  </si>
  <si>
    <t>Hotă profesională</t>
  </si>
  <si>
    <t>Multifunctională</t>
  </si>
  <si>
    <t>Lift înclinat pentru scări</t>
  </si>
  <si>
    <t>67.A</t>
  </si>
  <si>
    <t>Lucrări de instalaţii sisteme de alarmă împotriva incendiului şi antiefracţie Biblioteca Teleki</t>
  </si>
  <si>
    <t>Sistem sonorizare</t>
  </si>
  <si>
    <t>Sistem de traducere prin căşti</t>
  </si>
  <si>
    <t>Dotări Centru American Corner</t>
  </si>
  <si>
    <t>Pupitru lumini pentru sala de spectacole</t>
  </si>
  <si>
    <t>Boxe</t>
  </si>
  <si>
    <t>Acordeon (secţia maghiară)</t>
  </si>
  <si>
    <t>Maşină de spălat</t>
  </si>
  <si>
    <t>Clădire birouri şi depozite Muzeul de Ştiinţele Naturii, Horea nr. 24 - execuţie</t>
  </si>
  <si>
    <t>Montare lift la Biblioteca Judeţeană</t>
  </si>
  <si>
    <t>Reabilitare încălzire centrală la Palatul Culturii, Tîrgu Mureş</t>
  </si>
  <si>
    <t>Secţia laborator restaurare conservare</t>
  </si>
  <si>
    <t>Instalaţie exhaustare vapori organici toxici</t>
  </si>
  <si>
    <t>Lampă UV cu braţ articular</t>
  </si>
  <si>
    <t>Microsablator</t>
  </si>
  <si>
    <t>Secţia de arheologie</t>
  </si>
  <si>
    <t>Obiecte muzeale</t>
  </si>
  <si>
    <t>Secţia de artă</t>
  </si>
  <si>
    <t>Rame pentru tablouri</t>
  </si>
  <si>
    <t>Secţia de etnografie</t>
  </si>
  <si>
    <t>Mobilier amenajare spaţiu expoziţii temporare</t>
  </si>
  <si>
    <t>Completare Sistem supraveghere video spaţii expoziţionale</t>
  </si>
  <si>
    <t>Secţia de istorie</t>
  </si>
  <si>
    <t>Secţia de ştiinţele naturii</t>
  </si>
  <si>
    <t>Sistem de alarmare efracţie</t>
  </si>
  <si>
    <t>Amenajare depozit</t>
  </si>
  <si>
    <t>Cetatea Medievală</t>
  </si>
  <si>
    <t>Sistem de siguranţă expoziţie Tezaur</t>
  </si>
  <si>
    <t>Sediu administrativ - Mărăşti nr. 8</t>
  </si>
  <si>
    <t>Server+instalare+configurare</t>
  </si>
  <si>
    <t>Site WEB</t>
  </si>
  <si>
    <t>Sistem de încălzire centrală</t>
  </si>
  <si>
    <t>Palatul Culturii</t>
  </si>
  <si>
    <t>PT reparaţii faţadă+acoperiş</t>
  </si>
  <si>
    <t>PT Restaurare hol principal în Palatul Culturii</t>
  </si>
  <si>
    <t>PT reparaţii Holul Mare+casa scărilor</t>
  </si>
  <si>
    <t xml:space="preserve">Centrală termică  </t>
  </si>
  <si>
    <t>Castel Gurghiu</t>
  </si>
  <si>
    <t>Lucrări restaurare fresce</t>
  </si>
  <si>
    <t>Instrumente muzicale</t>
  </si>
  <si>
    <t>Orgă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</si>
  <si>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</si>
  <si>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</si>
  <si>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</si>
  <si>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</si>
  <si>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MATERNA</t>
  </si>
  <si>
    <t>Copiator A3</t>
  </si>
  <si>
    <t>68.B</t>
  </si>
  <si>
    <t>CTF Regin - Petelea</t>
  </si>
  <si>
    <t>Calculatoare</t>
  </si>
  <si>
    <t>Pavaj curte CTF Petelea</t>
  </si>
  <si>
    <t>DGASPC - APARAT PROPRIU</t>
  </si>
  <si>
    <t>68.A</t>
  </si>
  <si>
    <t>Împrejmuire cu gard la CTF judeţ şi CRCDN</t>
  </si>
  <si>
    <t>Reabilitare instalaţie încălzire şi apă caldă menajeră - CRRN Reghin - proiect şi realizare</t>
  </si>
  <si>
    <t>Refacere gard - CRCDN Ceuaşu de Cîmpie nr. 43</t>
  </si>
  <si>
    <t>Refacere gard din jurul casei - CRCDN Ceuaşu de Cîmpie nr. 185</t>
  </si>
  <si>
    <t>Montare cabană SEC</t>
  </si>
  <si>
    <t>Reţea canalizare - CRRN Reghin</t>
  </si>
  <si>
    <t>Amenajare bucătărie şi sală de mese la CRRN Reghin</t>
  </si>
  <si>
    <t>Studiu de fezabilitate, proiect pentru clădire cu 50 paturi - CIA Glodeni</t>
  </si>
  <si>
    <t>Studiu de fezabilitate pt modernizare si extindere  clădire - CIA Reghin</t>
  </si>
  <si>
    <t>SF CIA Lunca Mureşului</t>
  </si>
  <si>
    <t>SF +PT pentru montare panouri solare</t>
  </si>
  <si>
    <t>Extindere şi mansardare clădire CIA Lunca Mureşului -proiectare şi execuţie</t>
  </si>
  <si>
    <t>CRRN Călugăreni</t>
  </si>
  <si>
    <t>Autoturism transport persoane</t>
  </si>
  <si>
    <t>CĂMIN PENTRU PERSOANE VÂRSTNICE IDECIU DE JOS</t>
  </si>
  <si>
    <t>Maşină de spălat industrială, înlocuire cazane, centrală termică</t>
  </si>
  <si>
    <t>Reabilitare clădire Camera Agricolă</t>
  </si>
  <si>
    <t>83.C</t>
  </si>
  <si>
    <t>Servicii de proiectare pentru clădirea Camerei Agricole</t>
  </si>
  <si>
    <t>Calculator cu licenţă</t>
  </si>
  <si>
    <t>Laptop cu licenţă</t>
  </si>
  <si>
    <t>Dulap metalic cu seifuri</t>
  </si>
  <si>
    <t>84.A</t>
  </si>
  <si>
    <t>Refuncţionalizare fluxuri cu extindere aerogară internă pentru zboruri Non Schengen</t>
  </si>
  <si>
    <t>Documentaţie cerere de finanţare POS-T</t>
  </si>
  <si>
    <t xml:space="preserve">Tunuri mobile pentru îndepărtat păsări </t>
  </si>
  <si>
    <t xml:space="preserve">Autobuze de platformă   </t>
  </si>
  <si>
    <t>Strung mic</t>
  </si>
  <si>
    <t xml:space="preserve">Aparat de sudură oxi-gaz   </t>
  </si>
  <si>
    <t xml:space="preserve">Aparat de sudură electric monofazic  </t>
  </si>
  <si>
    <t>Detector portabil pentru cabluri electrice</t>
  </si>
  <si>
    <t xml:space="preserve">Studiu şi proiect tehnic staţie de epurare şi separator de produse petroliere   </t>
  </si>
  <si>
    <t xml:space="preserve">Documentaţii tehnico-economice </t>
  </si>
  <si>
    <t>Semaforizare</t>
  </si>
  <si>
    <t>Amenajare platforme verificare tonaj auto (locuri de parcare)</t>
  </si>
  <si>
    <t>84.B</t>
  </si>
  <si>
    <t>Echipamente situaţii de urgenţă</t>
  </si>
  <si>
    <t>Asistenţă tehnică din partea proiectantului SF+PT Complex "Parc"</t>
  </si>
  <si>
    <t>Studiu de mentenanţă pentru clădirea Şcolii de Arte Tg Mureş</t>
  </si>
  <si>
    <t>70.B</t>
  </si>
  <si>
    <t>Cap.bug.</t>
  </si>
  <si>
    <t>Total cap.84, din care:</t>
  </si>
  <si>
    <t>- pentru transport aerian</t>
  </si>
  <si>
    <t>- pentru transport rutier</t>
  </si>
  <si>
    <t>Consolidare podeţe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</si>
  <si>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</si>
  <si>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</si>
  <si>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Repetoare pentru asigurarea şi amplificarea semnalului radio, necesare în timpul intervenţiilor de salvare</t>
  </si>
  <si>
    <t>Mansardare clădire pentru înfiinţare atelier de formare</t>
  </si>
  <si>
    <t>Maşină de spălat semiprofesională</t>
  </si>
  <si>
    <t>Combină frigorifică</t>
  </si>
  <si>
    <t>Calculator cu imprimantă</t>
  </si>
  <si>
    <t>Ladă frigorifică ( pt. CTF Şincai, Târnăveni- Lebedei , M. Niraj - Semănătorilor )</t>
  </si>
  <si>
    <t>Închidere balcoane cu termopan</t>
  </si>
  <si>
    <t>Centrală termică cu tiraj forţat 24 KW</t>
  </si>
  <si>
    <t>Maşină de gătit industrială - str. Trebely 3</t>
  </si>
  <si>
    <t>CTF Judeţ</t>
  </si>
  <si>
    <t>CRCDN Ceuaşu de Câmpie</t>
  </si>
  <si>
    <t>CRCDN Tg. Mureş</t>
  </si>
  <si>
    <t>Maşini de spălat semiprofesionale</t>
  </si>
  <si>
    <t xml:space="preserve">SF, proiecte </t>
  </si>
  <si>
    <t>Reabilitare şi compartimentare corp clădire pentru amenajare SIRU</t>
  </si>
  <si>
    <t>Centrale termice cu tiraj forţat  pt. CTF</t>
  </si>
  <si>
    <t>CRRN Brâncoveneşti</t>
  </si>
  <si>
    <t>CIA Lunca Mureş</t>
  </si>
  <si>
    <t>Maşină pentru marfă</t>
  </si>
  <si>
    <t>Dotări reabilitare bucătărie</t>
  </si>
  <si>
    <t xml:space="preserve">Firmă AEROPORT   </t>
  </si>
  <si>
    <t>65</t>
  </si>
  <si>
    <t>68</t>
  </si>
  <si>
    <t>83</t>
  </si>
  <si>
    <t>84</t>
  </si>
  <si>
    <t>SF+PT Reastaurare Muzeul de Vânătoare Castel Gurgiu</t>
  </si>
  <si>
    <t>Consolidare pod DJ 106 km 87+164 - proiectare + execuţie</t>
  </si>
  <si>
    <t>Documentaţii tehnico-economice Consolidare pod DJ 106 km 88+962</t>
  </si>
  <si>
    <t>CONSILIUL JUDEŢEAN MUREŞ total, din care</t>
  </si>
  <si>
    <t>DIRECŢIA JUDEŢEANĂ PENTRU EVIDENŢA PERSOANEI total, din care:</t>
  </si>
  <si>
    <t>SPJ SALVAMONT total, din care:</t>
  </si>
  <si>
    <t>CENTRUL ŞCOLAR PENTRU EDUCAŢIE INCLUZIVĂ NR.1 total, din care:</t>
  </si>
  <si>
    <t>CENTRUL ŞCOLAR PENTRU EDUCAŢIE INCLUZIVĂ NR.2 total, din care:</t>
  </si>
  <si>
    <t>CENTRUL ŞCOLAR PENTRU EDUCAŢIE INCLUZIVĂ NR.3 REGHIN total,  din care:</t>
  </si>
  <si>
    <t>UNITĂŢI DE CULTURĂ total, din care:</t>
  </si>
  <si>
    <t>BIBLIOTECA JUDEŢEANĂ total, din care:</t>
  </si>
  <si>
    <t>ANSAMBLUL ARTISTIC PROFESIONIST "MUREŞUL" total, din care:</t>
  </si>
  <si>
    <t>MUZEUL JUDEŢEAN MUREŞ total, din care:</t>
  </si>
  <si>
    <t>FILARMONICA DE STAT TÎRGU MUREŞ total, din care:</t>
  </si>
  <si>
    <t>TEATRUL PENTRU COPII ŞI TINERET ARIEL TÂRGU MUREŞ total, din care:</t>
  </si>
  <si>
    <t>CAMERA AGRICOLĂ JUDEŢEANĂ MUREŞ total, din care:</t>
  </si>
  <si>
    <t>RA AEROPORT TRANSILVANIA total, din care:</t>
  </si>
  <si>
    <t>TOTAL CHELTUIELI DE INVESTIŢII 2011</t>
  </si>
  <si>
    <t>Lucrări de restaurare clădire Biblioteca Teleki - secţia de artă şi galeria Ion Vlasiu</t>
  </si>
  <si>
    <t>67.B</t>
  </si>
  <si>
    <t>Buget 2011</t>
  </si>
  <si>
    <t>Valori rectificate</t>
  </si>
  <si>
    <t>Influenţă</t>
  </si>
  <si>
    <t>SF+PT+DE CIA Lunca Mureşului</t>
  </si>
  <si>
    <t>Achiziţie echipamente diverse pentru utilajul MULTIONE</t>
  </si>
  <si>
    <t>83.B</t>
  </si>
  <si>
    <t>Scări tractabile pasageri SH (2buc)</t>
  </si>
  <si>
    <t>Autobuze de platformă SH (2 buc)</t>
  </si>
  <si>
    <t>Aparat SMSP</t>
  </si>
  <si>
    <t>Studiu de determinare capacitate portantă (PCN)pentru calea de rulare Alfa</t>
  </si>
  <si>
    <t>Extindere drumuri şi platforme parcare auto</t>
  </si>
  <si>
    <t>Aparat control Rx cu tip instalat, cu tunel de dimensiuni mici</t>
  </si>
  <si>
    <t>Staţii emisie-recepţie componente securitate (20 buc)</t>
  </si>
  <si>
    <t>Sistem de supraveghere</t>
  </si>
  <si>
    <t>Clădire Muzeul de Etnografie</t>
  </si>
  <si>
    <t>din care</t>
  </si>
  <si>
    <t>Buget</t>
  </si>
  <si>
    <t>Taxa de securitate</t>
  </si>
  <si>
    <t>Gherete de control PPF terminal Non-Schengen (6 buc)</t>
  </si>
  <si>
    <t>Dotări cabinet kinetoterapie</t>
  </si>
  <si>
    <t>SF + PT extindere capacităţi aerogară Non Schengen</t>
  </si>
  <si>
    <t>PT şi asistenţă tehnică proiectant Amenajare şi reabilitare pentru conversie spaţiu, din spaţiu hotelier în spaţiu administrativ</t>
  </si>
  <si>
    <t>Scări avo autopropulsate (2 buc)</t>
  </si>
  <si>
    <t>Tractor echipat cu lamă şi suport de perie pentru deszăpezire</t>
  </si>
  <si>
    <t>Degivror aeronave</t>
  </si>
  <si>
    <t>Studiu de Prefezabilitate Devierea drumului comunal DC123-DN15 Chirileu pentru extinderea aeroportului</t>
  </si>
  <si>
    <t xml:space="preserve">Proiect tehnic balizaj cat I OACI la calea de rulare şi platforma Alfa, iluminat platforma </t>
  </si>
  <si>
    <t>Grup electrogen GPU 500 KVA</t>
  </si>
  <si>
    <t>Echipament perie de dezapezire ( 2 seturi)</t>
  </si>
  <si>
    <t>Dotări extindere aerogară  flux Non Schengen</t>
  </si>
  <si>
    <t>Cărucioare pentru bagaje pasageri (60 buc)</t>
  </si>
  <si>
    <t>Stâlpi cu banda retractabilă (60 buc)</t>
  </si>
  <si>
    <t>Banchete cu 3 şi 4 locuri pentru pasageri</t>
  </si>
  <si>
    <t>Sistem de control acces la fluxurile de întoarcere  de la frontieră</t>
  </si>
  <si>
    <t>Panouri de orientare şi inscripţionări diverse, autocolante</t>
  </si>
  <si>
    <t>Autobandă bagaje de cală</t>
  </si>
  <si>
    <t xml:space="preserve">Influenţă </t>
  </si>
  <si>
    <t>Aparat foto profesional</t>
  </si>
  <si>
    <t>Venituri proprii</t>
  </si>
  <si>
    <t>Înlocuire conductă de transport apă Dn 200 mm sat Lechincioara, com Şincai</t>
  </si>
  <si>
    <t>Montare a două bariere la parcarea din faţa complexului "Parc"</t>
  </si>
  <si>
    <t>Muzeul de Arheologie - Cetate</t>
  </si>
  <si>
    <t>Reamenajare şi recompartimentare CRCDN Ceuaş</t>
  </si>
  <si>
    <t>Scanner multifuncţional</t>
  </si>
  <si>
    <t>Aparat aer condiţionat 18000 BTU - ISU</t>
  </si>
  <si>
    <t>74.B</t>
  </si>
  <si>
    <t>Reconstructie ecologica forestiera pe terenuri degradate, comuna Riciu, judetul Mures - perimetrul de ameliorare Valea Sinmartinului-Cetagau</t>
  </si>
  <si>
    <t>Buget de stat</t>
  </si>
  <si>
    <t>Alte bugete locale</t>
  </si>
  <si>
    <t>SF şi PT înlocuire cazane  la CT1</t>
  </si>
  <si>
    <t>Alcoolscop</t>
  </si>
  <si>
    <t>Studiu ornitologic pentru viaţa sălbatică</t>
  </si>
  <si>
    <t>SF+PT substaţie PSI</t>
  </si>
  <si>
    <t>Total cap.87</t>
  </si>
  <si>
    <t>Restaurarea ancadramentelor de piatră a ferestrelor, reconstrucţia vitraliilor de la primăria veche</t>
  </si>
  <si>
    <t>87.C</t>
  </si>
  <si>
    <t>CENTRUL JUDETEAN PTR. CULTURA TRADITIONALA SI EDUCATIE ARTISTICA MURES total, din care</t>
  </si>
  <si>
    <t>Calculator portabil</t>
  </si>
  <si>
    <t>Calculator desktop</t>
  </si>
  <si>
    <t>2</t>
  </si>
  <si>
    <t xml:space="preserve">Studiu de soluţie în postul trafo, pentru a doua alimentare din sursă publică </t>
  </si>
  <si>
    <t>Echipamente de calcul şi programe informatice</t>
  </si>
  <si>
    <t>Reabilitare instalaţie încălzire centrală la sediul DGASPC Mureş - str. Trebely nr. 7 corp B</t>
  </si>
  <si>
    <t>Reabilitare acoperiş sediu DGASPC Mureş corp A - str. Trebely nr. 7</t>
  </si>
  <si>
    <t>Butelii duble scufundări</t>
  </si>
  <si>
    <t>Defibrilator semiautomat</t>
  </si>
  <si>
    <t>Centrală termică</t>
  </si>
  <si>
    <t>Reactualizare documentaţie sistem WGS şi puncte INS platforma BRAVO</t>
  </si>
  <si>
    <t>Determinare declinaţie magnetică conform valorilor actuale</t>
  </si>
  <si>
    <t>Studiu de expertizere tehnică a suprafeţelor de mişcare</t>
  </si>
  <si>
    <t>SF şi PT garaj echipemente de handling</t>
  </si>
  <si>
    <t>DALI pod km 11+776 DJ 142C</t>
  </si>
  <si>
    <t>Sistem de operare</t>
  </si>
  <si>
    <t>SF si Proiect tehnic extindere si copertină faţadă sudica aerogara</t>
  </si>
  <si>
    <t>Sistem supraveghere</t>
  </si>
  <si>
    <t>Program informatic bază de date inventar arheologie</t>
  </si>
  <si>
    <t>Restaurare tablouri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</si>
</sst>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49" fontId="3" fillId="4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3" fillId="25" borderId="10" xfId="51" applyNumberFormat="1" applyFont="1" applyFill="1" applyBorder="1" applyAlignment="1">
      <alignment horizontal="right" vertical="center" wrapText="1"/>
      <protection/>
    </xf>
    <xf numFmtId="49" fontId="3" fillId="25" borderId="10" xfId="51" applyNumberFormat="1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vertical="center" wrapText="1"/>
    </xf>
    <xf numFmtId="49" fontId="0" fillId="0" borderId="10" xfId="51" applyNumberFormat="1" applyFont="1" applyFill="1" applyBorder="1" applyAlignment="1">
      <alignment vertical="center" wrapText="1"/>
      <protection/>
    </xf>
    <xf numFmtId="3" fontId="0" fillId="0" borderId="10" xfId="51" applyNumberFormat="1" applyFont="1" applyFill="1" applyBorder="1" applyAlignment="1">
      <alignment horizontal="right" vertical="center" wrapText="1"/>
      <protection/>
    </xf>
    <xf numFmtId="49" fontId="3" fillId="6" borderId="10" xfId="51" applyNumberFormat="1" applyFont="1" applyFill="1" applyBorder="1" applyAlignment="1">
      <alignment vertical="center" wrapText="1"/>
      <protection/>
    </xf>
    <xf numFmtId="3" fontId="2" fillId="6" borderId="10" xfId="51" applyNumberFormat="1" applyFont="1" applyFill="1" applyBorder="1" applyAlignment="1">
      <alignment horizontal="right" vertical="center" wrapText="1"/>
      <protection/>
    </xf>
    <xf numFmtId="0" fontId="5" fillId="22" borderId="10" xfId="0" applyFont="1" applyFill="1" applyBorder="1" applyAlignment="1">
      <alignment vertical="center" wrapText="1"/>
    </xf>
    <xf numFmtId="3" fontId="5" fillId="22" borderId="10" xfId="51" applyNumberFormat="1" applyFont="1" applyFill="1" applyBorder="1" applyAlignment="1">
      <alignment horizontal="righ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 wrapText="1"/>
    </xf>
    <xf numFmtId="49" fontId="0" fillId="24" borderId="10" xfId="51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3" fillId="4" borderId="10" xfId="51" applyNumberFormat="1" applyFont="1" applyFill="1" applyBorder="1" applyAlignment="1">
      <alignment vertical="center" wrapText="1"/>
      <protection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5" fillId="22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6" fillId="23" borderId="13" xfId="0" applyFont="1" applyFill="1" applyBorder="1" applyAlignment="1">
      <alignment horizontal="right" vertical="center" wrapText="1"/>
    </xf>
    <xf numFmtId="0" fontId="6" fillId="23" borderId="13" xfId="0" applyFont="1" applyFill="1" applyBorder="1" applyAlignment="1">
      <alignment horizontal="left" vertical="center" wrapText="1"/>
    </xf>
    <xf numFmtId="3" fontId="6" fillId="23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3" fontId="4" fillId="2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top" wrapText="1"/>
    </xf>
    <xf numFmtId="2" fontId="2" fillId="24" borderId="1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wrapText="1"/>
    </xf>
    <xf numFmtId="3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247" sqref="G247"/>
    </sheetView>
  </sheetViews>
  <sheetFormatPr defaultColWidth="9.140625" defaultRowHeight="12.75"/>
  <cols>
    <col min="1" max="1" width="4.8515625" style="36" customWidth="1"/>
    <col min="2" max="2" width="5.421875" style="36" customWidth="1"/>
    <col min="3" max="3" width="75.00390625" style="37" customWidth="1"/>
    <col min="4" max="5" width="10.8515625" style="37" hidden="1" customWidth="1"/>
    <col min="6" max="7" width="10.8515625" style="37" customWidth="1"/>
    <col min="8" max="8" width="11.140625" style="37" customWidth="1"/>
    <col min="9" max="9" width="10.140625" style="37" bestFit="1" customWidth="1"/>
    <col min="10" max="10" width="9.28125" style="37" customWidth="1"/>
    <col min="11" max="11" width="10.8515625" style="37" customWidth="1"/>
    <col min="12" max="13" width="11.7109375" style="37" customWidth="1"/>
    <col min="14" max="16384" width="9.140625" style="49" customWidth="1"/>
  </cols>
  <sheetData>
    <row r="1" spans="1:13" s="48" customFormat="1" ht="13.5" thickBot="1">
      <c r="A1" s="53"/>
      <c r="B1" s="53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8" customFormat="1" ht="15.75" customHeight="1" thickBot="1">
      <c r="A2" s="77" t="s">
        <v>0</v>
      </c>
      <c r="B2" s="77" t="s">
        <v>139</v>
      </c>
      <c r="C2" s="77" t="s">
        <v>1</v>
      </c>
      <c r="D2" s="71" t="s">
        <v>191</v>
      </c>
      <c r="E2" s="71" t="s">
        <v>193</v>
      </c>
      <c r="F2" s="71" t="s">
        <v>191</v>
      </c>
      <c r="G2" s="71" t="s">
        <v>227</v>
      </c>
      <c r="H2" s="71" t="s">
        <v>192</v>
      </c>
      <c r="I2" s="74" t="s">
        <v>206</v>
      </c>
      <c r="J2" s="74"/>
      <c r="K2" s="74"/>
      <c r="L2" s="74"/>
      <c r="M2" s="76"/>
    </row>
    <row r="3" spans="1:13" s="48" customFormat="1" ht="15.75" customHeight="1" thickBot="1">
      <c r="A3" s="78"/>
      <c r="B3" s="78"/>
      <c r="C3" s="78"/>
      <c r="D3" s="72"/>
      <c r="E3" s="72"/>
      <c r="F3" s="72"/>
      <c r="G3" s="72"/>
      <c r="H3" s="72"/>
      <c r="I3" s="74" t="s">
        <v>207</v>
      </c>
      <c r="J3" s="74" t="s">
        <v>239</v>
      </c>
      <c r="K3" s="74" t="s">
        <v>238</v>
      </c>
      <c r="L3" s="74" t="s">
        <v>208</v>
      </c>
      <c r="M3" s="74" t="s">
        <v>229</v>
      </c>
    </row>
    <row r="4" spans="1:13" s="48" customFormat="1" ht="25.5" customHeight="1" thickBot="1">
      <c r="A4" s="79"/>
      <c r="B4" s="79"/>
      <c r="C4" s="79"/>
      <c r="D4" s="73"/>
      <c r="E4" s="73"/>
      <c r="F4" s="73"/>
      <c r="G4" s="73"/>
      <c r="H4" s="73"/>
      <c r="I4" s="75"/>
      <c r="J4" s="75"/>
      <c r="K4" s="75"/>
      <c r="L4" s="75"/>
      <c r="M4" s="75"/>
    </row>
    <row r="5" spans="1:13" s="48" customFormat="1" ht="13.5" customHeight="1" thickBot="1">
      <c r="A5" s="50">
        <v>0</v>
      </c>
      <c r="B5" s="50">
        <v>1</v>
      </c>
      <c r="C5" s="50">
        <v>2</v>
      </c>
      <c r="D5" s="50">
        <v>3</v>
      </c>
      <c r="E5" s="50">
        <v>4</v>
      </c>
      <c r="F5" s="50">
        <v>3</v>
      </c>
      <c r="G5" s="50">
        <v>4</v>
      </c>
      <c r="H5" s="50">
        <v>5</v>
      </c>
      <c r="I5" s="50">
        <v>6</v>
      </c>
      <c r="J5" s="50">
        <v>7</v>
      </c>
      <c r="K5" s="50">
        <v>8</v>
      </c>
      <c r="L5" s="50">
        <v>9</v>
      </c>
      <c r="M5" s="50">
        <v>10</v>
      </c>
    </row>
    <row r="6" spans="1:13" s="48" customFormat="1" ht="13.5" thickTop="1">
      <c r="A6" s="56"/>
      <c r="B6" s="56"/>
      <c r="C6" s="57" t="s">
        <v>188</v>
      </c>
      <c r="D6" s="58">
        <f aca="true" t="shared" si="0" ref="D6:M6">D7+D58+D62+D68+D70+D72+D75+D142+D187+D189+D197</f>
        <v>34761000</v>
      </c>
      <c r="E6" s="58">
        <f t="shared" si="0"/>
        <v>4533000</v>
      </c>
      <c r="F6" s="58">
        <f t="shared" si="0"/>
        <v>41282900</v>
      </c>
      <c r="G6" s="58">
        <f t="shared" si="0"/>
        <v>-156500</v>
      </c>
      <c r="H6" s="58">
        <f t="shared" si="0"/>
        <v>41126400</v>
      </c>
      <c r="I6" s="58">
        <f t="shared" si="0"/>
        <v>38686400</v>
      </c>
      <c r="J6" s="58">
        <f t="shared" si="0"/>
        <v>164000</v>
      </c>
      <c r="K6" s="58">
        <f t="shared" si="0"/>
        <v>1886000</v>
      </c>
      <c r="L6" s="58">
        <f t="shared" si="0"/>
        <v>385000</v>
      </c>
      <c r="M6" s="58">
        <f t="shared" si="0"/>
        <v>5000</v>
      </c>
    </row>
    <row r="7" spans="1:13" s="48" customFormat="1" ht="12.75">
      <c r="A7" s="12"/>
      <c r="B7" s="12"/>
      <c r="C7" s="13" t="s">
        <v>174</v>
      </c>
      <c r="D7" s="1">
        <f>D8+D26+D37+D32+D29</f>
        <v>18993000</v>
      </c>
      <c r="E7" s="1">
        <f>E8+E26+E37+E32+E29</f>
        <v>824000</v>
      </c>
      <c r="F7" s="1">
        <f aca="true" t="shared" si="1" ref="F7:M7">F8+F26+F37+F32+F29+F56</f>
        <v>22112000</v>
      </c>
      <c r="G7" s="1">
        <f t="shared" si="1"/>
        <v>-239000</v>
      </c>
      <c r="H7" s="1">
        <f t="shared" si="1"/>
        <v>21873000</v>
      </c>
      <c r="I7" s="1">
        <f t="shared" si="1"/>
        <v>19823000</v>
      </c>
      <c r="J7" s="1">
        <f t="shared" si="1"/>
        <v>164000</v>
      </c>
      <c r="K7" s="1">
        <f t="shared" si="1"/>
        <v>1886000</v>
      </c>
      <c r="L7" s="1">
        <f t="shared" si="1"/>
        <v>0</v>
      </c>
      <c r="M7" s="1">
        <f t="shared" si="1"/>
        <v>0</v>
      </c>
    </row>
    <row r="8" spans="1:13" s="48" customFormat="1" ht="12.75">
      <c r="A8" s="40"/>
      <c r="B8" s="40"/>
      <c r="C8" s="2" t="s">
        <v>2</v>
      </c>
      <c r="D8" s="6">
        <f>SUM(D9:D24)</f>
        <v>3166000</v>
      </c>
      <c r="E8" s="6">
        <f>SUM(E9:E24)</f>
        <v>993000</v>
      </c>
      <c r="F8" s="6">
        <f aca="true" t="shared" si="2" ref="F8:M8">SUM(F9:F25)</f>
        <v>4188000</v>
      </c>
      <c r="G8" s="6">
        <f t="shared" si="2"/>
        <v>-100000</v>
      </c>
      <c r="H8" s="6">
        <f t="shared" si="2"/>
        <v>4088000</v>
      </c>
      <c r="I8" s="6">
        <f t="shared" si="2"/>
        <v>4088000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</row>
    <row r="9" spans="1:13" s="48" customFormat="1" ht="12.75" customHeight="1">
      <c r="A9" s="39">
        <v>1</v>
      </c>
      <c r="B9" s="39" t="s">
        <v>3</v>
      </c>
      <c r="C9" s="3" t="s">
        <v>4</v>
      </c>
      <c r="D9" s="4">
        <v>2117000</v>
      </c>
      <c r="E9" s="4">
        <v>856000</v>
      </c>
      <c r="F9" s="4">
        <f aca="true" t="shared" si="3" ref="F9:F14">D9+E9</f>
        <v>2973000</v>
      </c>
      <c r="G9" s="4"/>
      <c r="H9" s="4">
        <f aca="true" t="shared" si="4" ref="H9:H25">F9+G9</f>
        <v>2973000</v>
      </c>
      <c r="I9" s="4">
        <f>2117000+856000</f>
        <v>2973000</v>
      </c>
      <c r="J9" s="4"/>
      <c r="K9" s="4"/>
      <c r="L9" s="4"/>
      <c r="M9" s="4"/>
    </row>
    <row r="10" spans="1:13" s="48" customFormat="1" ht="12.75">
      <c r="A10" s="39">
        <v>2</v>
      </c>
      <c r="B10" s="39" t="s">
        <v>5</v>
      </c>
      <c r="C10" s="3" t="s">
        <v>6</v>
      </c>
      <c r="D10" s="4">
        <v>100000</v>
      </c>
      <c r="E10" s="4"/>
      <c r="F10" s="4">
        <f t="shared" si="3"/>
        <v>100000</v>
      </c>
      <c r="G10" s="4">
        <v>-100000</v>
      </c>
      <c r="H10" s="4">
        <f t="shared" si="4"/>
        <v>0</v>
      </c>
      <c r="I10" s="4">
        <f>100000-100000</f>
        <v>0</v>
      </c>
      <c r="J10" s="4"/>
      <c r="K10" s="4"/>
      <c r="L10" s="4"/>
      <c r="M10" s="4"/>
    </row>
    <row r="11" spans="1:13" s="48" customFormat="1" ht="12.75">
      <c r="A11" s="39">
        <v>3</v>
      </c>
      <c r="B11" s="39" t="s">
        <v>5</v>
      </c>
      <c r="C11" s="3" t="s">
        <v>7</v>
      </c>
      <c r="D11" s="4">
        <v>5000</v>
      </c>
      <c r="E11" s="4"/>
      <c r="F11" s="4">
        <f t="shared" si="3"/>
        <v>5000</v>
      </c>
      <c r="G11" s="4"/>
      <c r="H11" s="4">
        <f t="shared" si="4"/>
        <v>5000</v>
      </c>
      <c r="I11" s="4">
        <v>5000</v>
      </c>
      <c r="J11" s="4"/>
      <c r="K11" s="4"/>
      <c r="L11" s="4"/>
      <c r="M11" s="4"/>
    </row>
    <row r="12" spans="1:13" s="48" customFormat="1" ht="12.75">
      <c r="A12" s="39">
        <v>4</v>
      </c>
      <c r="B12" s="39" t="s">
        <v>5</v>
      </c>
      <c r="C12" s="3" t="s">
        <v>11</v>
      </c>
      <c r="D12" s="4">
        <v>16000</v>
      </c>
      <c r="E12" s="4"/>
      <c r="F12" s="4">
        <f t="shared" si="3"/>
        <v>16000</v>
      </c>
      <c r="G12" s="4"/>
      <c r="H12" s="4">
        <f t="shared" si="4"/>
        <v>16000</v>
      </c>
      <c r="I12" s="4">
        <v>16000</v>
      </c>
      <c r="J12" s="4"/>
      <c r="K12" s="4"/>
      <c r="L12" s="4"/>
      <c r="M12" s="4"/>
    </row>
    <row r="13" spans="1:13" s="48" customFormat="1" ht="25.5">
      <c r="A13" s="39">
        <v>5</v>
      </c>
      <c r="B13" s="39" t="s">
        <v>8</v>
      </c>
      <c r="C13" s="3" t="s">
        <v>9</v>
      </c>
      <c r="D13" s="4">
        <v>10000</v>
      </c>
      <c r="E13" s="4"/>
      <c r="F13" s="4">
        <f t="shared" si="3"/>
        <v>10000</v>
      </c>
      <c r="G13" s="4"/>
      <c r="H13" s="4">
        <f t="shared" si="4"/>
        <v>10000</v>
      </c>
      <c r="I13" s="4">
        <v>10000</v>
      </c>
      <c r="J13" s="4"/>
      <c r="K13" s="4"/>
      <c r="L13" s="4"/>
      <c r="M13" s="4"/>
    </row>
    <row r="14" spans="1:13" s="48" customFormat="1" ht="12.75">
      <c r="A14" s="39">
        <v>6</v>
      </c>
      <c r="B14" s="39" t="s">
        <v>8</v>
      </c>
      <c r="C14" s="3" t="s">
        <v>10</v>
      </c>
      <c r="D14" s="4">
        <v>50000</v>
      </c>
      <c r="E14" s="4">
        <v>100000</v>
      </c>
      <c r="F14" s="4">
        <f t="shared" si="3"/>
        <v>150000</v>
      </c>
      <c r="G14" s="4"/>
      <c r="H14" s="4">
        <f t="shared" si="4"/>
        <v>150000</v>
      </c>
      <c r="I14" s="4">
        <f>50000+100000</f>
        <v>150000</v>
      </c>
      <c r="J14" s="4"/>
      <c r="K14" s="4"/>
      <c r="L14" s="4"/>
      <c r="M14" s="4"/>
    </row>
    <row r="15" spans="1:13" s="48" customFormat="1" ht="12.75">
      <c r="A15" s="39">
        <v>7</v>
      </c>
      <c r="B15" s="39" t="s">
        <v>8</v>
      </c>
      <c r="C15" s="3" t="s">
        <v>12</v>
      </c>
      <c r="D15" s="4">
        <v>54000</v>
      </c>
      <c r="E15" s="4"/>
      <c r="F15" s="4">
        <v>49000</v>
      </c>
      <c r="G15" s="4"/>
      <c r="H15" s="4">
        <f t="shared" si="4"/>
        <v>49000</v>
      </c>
      <c r="I15" s="4">
        <f>54000-5000</f>
        <v>49000</v>
      </c>
      <c r="J15" s="4"/>
      <c r="K15" s="4"/>
      <c r="L15" s="4"/>
      <c r="M15" s="4"/>
    </row>
    <row r="16" spans="1:13" s="48" customFormat="1" ht="12.75">
      <c r="A16" s="39">
        <v>8</v>
      </c>
      <c r="B16" s="39" t="s">
        <v>8</v>
      </c>
      <c r="C16" s="3" t="s">
        <v>13</v>
      </c>
      <c r="D16" s="4">
        <v>88000</v>
      </c>
      <c r="E16" s="4"/>
      <c r="F16" s="4">
        <v>78500</v>
      </c>
      <c r="G16" s="4"/>
      <c r="H16" s="4">
        <f t="shared" si="4"/>
        <v>78500</v>
      </c>
      <c r="I16" s="4">
        <f>88000-14500+5000</f>
        <v>78500</v>
      </c>
      <c r="J16" s="4"/>
      <c r="K16" s="4"/>
      <c r="L16" s="4"/>
      <c r="M16" s="4"/>
    </row>
    <row r="17" spans="1:13" s="48" customFormat="1" ht="12.75">
      <c r="A17" s="39">
        <v>9</v>
      </c>
      <c r="B17" s="39" t="s">
        <v>8</v>
      </c>
      <c r="C17" s="3" t="s">
        <v>252</v>
      </c>
      <c r="D17" s="4">
        <v>50000</v>
      </c>
      <c r="E17" s="4"/>
      <c r="F17" s="4">
        <v>64500</v>
      </c>
      <c r="G17" s="4"/>
      <c r="H17" s="4">
        <f t="shared" si="4"/>
        <v>64500</v>
      </c>
      <c r="I17" s="4">
        <f>50000+14500</f>
        <v>64500</v>
      </c>
      <c r="J17" s="4"/>
      <c r="K17" s="4"/>
      <c r="L17" s="4"/>
      <c r="M17" s="4"/>
    </row>
    <row r="18" spans="1:13" s="48" customFormat="1" ht="12.75">
      <c r="A18" s="39">
        <v>10</v>
      </c>
      <c r="B18" s="39" t="s">
        <v>8</v>
      </c>
      <c r="C18" s="3" t="s">
        <v>14</v>
      </c>
      <c r="D18" s="4">
        <v>26000</v>
      </c>
      <c r="E18" s="4"/>
      <c r="F18" s="4">
        <f aca="true" t="shared" si="5" ref="F18:F24">D18+E18</f>
        <v>26000</v>
      </c>
      <c r="G18" s="4"/>
      <c r="H18" s="4">
        <f t="shared" si="4"/>
        <v>26000</v>
      </c>
      <c r="I18" s="4">
        <v>26000</v>
      </c>
      <c r="J18" s="4"/>
      <c r="K18" s="4"/>
      <c r="L18" s="4"/>
      <c r="M18" s="4"/>
    </row>
    <row r="19" spans="1:13" s="48" customFormat="1" ht="12.75">
      <c r="A19" s="39">
        <v>11</v>
      </c>
      <c r="B19" s="39" t="s">
        <v>8</v>
      </c>
      <c r="C19" s="3" t="s">
        <v>15</v>
      </c>
      <c r="D19" s="4">
        <v>400000</v>
      </c>
      <c r="E19" s="4"/>
      <c r="F19" s="4">
        <f t="shared" si="5"/>
        <v>400000</v>
      </c>
      <c r="G19" s="4"/>
      <c r="H19" s="4">
        <f t="shared" si="4"/>
        <v>400000</v>
      </c>
      <c r="I19" s="4">
        <v>400000</v>
      </c>
      <c r="J19" s="4"/>
      <c r="K19" s="4"/>
      <c r="L19" s="4"/>
      <c r="M19" s="4"/>
    </row>
    <row r="20" spans="1:13" s="48" customFormat="1" ht="12.75">
      <c r="A20" s="39">
        <v>12</v>
      </c>
      <c r="B20" s="39" t="s">
        <v>8</v>
      </c>
      <c r="C20" s="3" t="s">
        <v>135</v>
      </c>
      <c r="D20" s="4">
        <v>60000</v>
      </c>
      <c r="E20" s="4"/>
      <c r="F20" s="4">
        <f t="shared" si="5"/>
        <v>60000</v>
      </c>
      <c r="G20" s="4"/>
      <c r="H20" s="4">
        <f t="shared" si="4"/>
        <v>60000</v>
      </c>
      <c r="I20" s="4">
        <v>60000</v>
      </c>
      <c r="J20" s="4"/>
      <c r="K20" s="4"/>
      <c r="L20" s="4"/>
      <c r="M20" s="4"/>
    </row>
    <row r="21" spans="1:13" s="48" customFormat="1" ht="12.75">
      <c r="A21" s="39">
        <v>13</v>
      </c>
      <c r="B21" s="39" t="s">
        <v>8</v>
      </c>
      <c r="C21" s="3" t="s">
        <v>136</v>
      </c>
      <c r="D21" s="4">
        <v>19000</v>
      </c>
      <c r="E21" s="4"/>
      <c r="F21" s="4">
        <f t="shared" si="5"/>
        <v>19000</v>
      </c>
      <c r="G21" s="4"/>
      <c r="H21" s="4">
        <f t="shared" si="4"/>
        <v>19000</v>
      </c>
      <c r="I21" s="4">
        <v>19000</v>
      </c>
      <c r="J21" s="4"/>
      <c r="K21" s="4"/>
      <c r="L21" s="4"/>
      <c r="M21" s="4"/>
    </row>
    <row r="22" spans="1:13" s="48" customFormat="1" ht="12.75">
      <c r="A22" s="39">
        <v>14</v>
      </c>
      <c r="B22" s="39" t="s">
        <v>8</v>
      </c>
      <c r="C22" s="5" t="s">
        <v>16</v>
      </c>
      <c r="D22" s="4">
        <v>150000</v>
      </c>
      <c r="E22" s="4"/>
      <c r="F22" s="4">
        <f t="shared" si="5"/>
        <v>150000</v>
      </c>
      <c r="G22" s="4"/>
      <c r="H22" s="4">
        <f t="shared" si="4"/>
        <v>150000</v>
      </c>
      <c r="I22" s="4">
        <v>150000</v>
      </c>
      <c r="J22" s="4"/>
      <c r="K22" s="4"/>
      <c r="L22" s="4"/>
      <c r="M22" s="4"/>
    </row>
    <row r="23" spans="1:13" s="48" customFormat="1" ht="12.75">
      <c r="A23" s="39">
        <v>15</v>
      </c>
      <c r="B23" s="39" t="s">
        <v>8</v>
      </c>
      <c r="C23" s="5" t="s">
        <v>17</v>
      </c>
      <c r="D23" s="4">
        <v>21000</v>
      </c>
      <c r="E23" s="4"/>
      <c r="F23" s="4">
        <f t="shared" si="5"/>
        <v>21000</v>
      </c>
      <c r="G23" s="4"/>
      <c r="H23" s="4">
        <f t="shared" si="4"/>
        <v>21000</v>
      </c>
      <c r="I23" s="4">
        <v>21000</v>
      </c>
      <c r="J23" s="4"/>
      <c r="K23" s="4"/>
      <c r="L23" s="4"/>
      <c r="M23" s="4"/>
    </row>
    <row r="24" spans="1:13" s="48" customFormat="1" ht="25.5">
      <c r="A24" s="39">
        <v>16</v>
      </c>
      <c r="B24" s="39" t="s">
        <v>8</v>
      </c>
      <c r="C24" s="5" t="s">
        <v>212</v>
      </c>
      <c r="D24" s="4"/>
      <c r="E24" s="4">
        <v>37000</v>
      </c>
      <c r="F24" s="4">
        <f t="shared" si="5"/>
        <v>37000</v>
      </c>
      <c r="G24" s="4"/>
      <c r="H24" s="4">
        <f t="shared" si="4"/>
        <v>37000</v>
      </c>
      <c r="I24" s="4">
        <v>37000</v>
      </c>
      <c r="J24" s="4"/>
      <c r="K24" s="4"/>
      <c r="L24" s="4"/>
      <c r="M24" s="4"/>
    </row>
    <row r="25" spans="1:13" s="48" customFormat="1" ht="12.75">
      <c r="A25" s="39">
        <v>17</v>
      </c>
      <c r="B25" s="39" t="s">
        <v>8</v>
      </c>
      <c r="C25" s="5" t="s">
        <v>231</v>
      </c>
      <c r="D25" s="4"/>
      <c r="E25" s="4"/>
      <c r="F25" s="4">
        <v>29000</v>
      </c>
      <c r="G25" s="4"/>
      <c r="H25" s="4">
        <f t="shared" si="4"/>
        <v>29000</v>
      </c>
      <c r="I25" s="4">
        <v>29000</v>
      </c>
      <c r="J25" s="4"/>
      <c r="K25" s="4"/>
      <c r="L25" s="4"/>
      <c r="M25" s="4"/>
    </row>
    <row r="26" spans="1:13" s="48" customFormat="1" ht="12.75">
      <c r="A26" s="40"/>
      <c r="B26" s="40"/>
      <c r="C26" s="9" t="s">
        <v>18</v>
      </c>
      <c r="D26" s="10">
        <f aca="true" t="shared" si="6" ref="D26:M26">SUM(D27:D28)</f>
        <v>123000</v>
      </c>
      <c r="E26" s="10">
        <f t="shared" si="6"/>
        <v>0</v>
      </c>
      <c r="F26" s="10">
        <f t="shared" si="6"/>
        <v>123000</v>
      </c>
      <c r="G26" s="10">
        <f t="shared" si="6"/>
        <v>0</v>
      </c>
      <c r="H26" s="10">
        <f t="shared" si="6"/>
        <v>123000</v>
      </c>
      <c r="I26" s="10">
        <f t="shared" si="6"/>
        <v>123000</v>
      </c>
      <c r="J26" s="10">
        <f t="shared" si="6"/>
        <v>0</v>
      </c>
      <c r="K26" s="10">
        <f t="shared" si="6"/>
        <v>0</v>
      </c>
      <c r="L26" s="10">
        <f t="shared" si="6"/>
        <v>0</v>
      </c>
      <c r="M26" s="10">
        <f t="shared" si="6"/>
        <v>0</v>
      </c>
    </row>
    <row r="27" spans="1:13" s="48" customFormat="1" ht="12.75">
      <c r="A27" s="39">
        <v>18</v>
      </c>
      <c r="B27" s="39" t="s">
        <v>19</v>
      </c>
      <c r="C27" s="7" t="s">
        <v>20</v>
      </c>
      <c r="D27" s="8">
        <v>70000</v>
      </c>
      <c r="E27" s="8"/>
      <c r="F27" s="4">
        <f>D27+E27</f>
        <v>70000</v>
      </c>
      <c r="G27" s="4"/>
      <c r="H27" s="4">
        <f>F27+G27</f>
        <v>70000</v>
      </c>
      <c r="I27" s="4">
        <v>70000</v>
      </c>
      <c r="J27" s="4"/>
      <c r="K27" s="4"/>
      <c r="L27" s="4"/>
      <c r="M27" s="4"/>
    </row>
    <row r="28" spans="1:13" s="48" customFormat="1" ht="12.75">
      <c r="A28" s="39">
        <v>19</v>
      </c>
      <c r="B28" s="39" t="s">
        <v>19</v>
      </c>
      <c r="C28" s="7" t="s">
        <v>137</v>
      </c>
      <c r="D28" s="8">
        <v>53000</v>
      </c>
      <c r="E28" s="8"/>
      <c r="F28" s="4">
        <f>D28+E28</f>
        <v>53000</v>
      </c>
      <c r="G28" s="4"/>
      <c r="H28" s="4">
        <f>F28+G28</f>
        <v>53000</v>
      </c>
      <c r="I28" s="4">
        <v>53000</v>
      </c>
      <c r="J28" s="4"/>
      <c r="K28" s="4"/>
      <c r="L28" s="4"/>
      <c r="M28" s="4"/>
    </row>
    <row r="29" spans="1:13" s="48" customFormat="1" ht="12.75">
      <c r="A29" s="40"/>
      <c r="B29" s="40"/>
      <c r="C29" s="9" t="s">
        <v>21</v>
      </c>
      <c r="D29" s="6">
        <f>SUM(D30:D30)</f>
        <v>140000</v>
      </c>
      <c r="E29" s="6">
        <f>SUM(E30:E30)</f>
        <v>0</v>
      </c>
      <c r="F29" s="6">
        <f aca="true" t="shared" si="7" ref="F29:M29">SUM(F30:F31)</f>
        <v>263000</v>
      </c>
      <c r="G29" s="6">
        <f t="shared" si="7"/>
        <v>0</v>
      </c>
      <c r="H29" s="6">
        <f t="shared" si="7"/>
        <v>263000</v>
      </c>
      <c r="I29" s="6">
        <f t="shared" si="7"/>
        <v>263000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</row>
    <row r="30" spans="1:13" s="48" customFormat="1" ht="12.75">
      <c r="A30" s="39">
        <v>20</v>
      </c>
      <c r="B30" s="39" t="s">
        <v>138</v>
      </c>
      <c r="C30" s="7" t="s">
        <v>22</v>
      </c>
      <c r="D30" s="8">
        <v>140000</v>
      </c>
      <c r="E30" s="8"/>
      <c r="F30" s="4">
        <f>D30+E30</f>
        <v>140000</v>
      </c>
      <c r="G30" s="4"/>
      <c r="H30" s="4">
        <f>F30+G30</f>
        <v>140000</v>
      </c>
      <c r="I30" s="4">
        <v>140000</v>
      </c>
      <c r="J30" s="4"/>
      <c r="K30" s="4"/>
      <c r="L30" s="4"/>
      <c r="M30" s="4"/>
    </row>
    <row r="31" spans="1:13" s="48" customFormat="1" ht="12.75">
      <c r="A31" s="39">
        <v>21</v>
      </c>
      <c r="B31" s="39" t="s">
        <v>138</v>
      </c>
      <c r="C31" s="7" t="s">
        <v>230</v>
      </c>
      <c r="D31" s="8"/>
      <c r="E31" s="8"/>
      <c r="F31" s="4">
        <v>123000</v>
      </c>
      <c r="G31" s="4"/>
      <c r="H31" s="4">
        <f>F31+G31</f>
        <v>123000</v>
      </c>
      <c r="I31" s="4">
        <v>123000</v>
      </c>
      <c r="J31" s="4"/>
      <c r="K31" s="4"/>
      <c r="L31" s="4"/>
      <c r="M31" s="4"/>
    </row>
    <row r="32" spans="1:13" s="48" customFormat="1" ht="12.75">
      <c r="A32" s="39"/>
      <c r="B32" s="39"/>
      <c r="C32" s="9" t="s">
        <v>23</v>
      </c>
      <c r="D32" s="6">
        <f>SUM(D33:D35)</f>
        <v>392000</v>
      </c>
      <c r="E32" s="6">
        <f>SUM(E33:E35)</f>
        <v>0</v>
      </c>
      <c r="F32" s="6">
        <f aca="true" t="shared" si="8" ref="F32:M32">SUM(F33:F36)</f>
        <v>2442000</v>
      </c>
      <c r="G32" s="6">
        <f t="shared" si="8"/>
        <v>0</v>
      </c>
      <c r="H32" s="6">
        <f t="shared" si="8"/>
        <v>2442000</v>
      </c>
      <c r="I32" s="6">
        <f t="shared" si="8"/>
        <v>392000</v>
      </c>
      <c r="J32" s="6">
        <f t="shared" si="8"/>
        <v>164000</v>
      </c>
      <c r="K32" s="6">
        <f t="shared" si="8"/>
        <v>1886000</v>
      </c>
      <c r="L32" s="6">
        <f t="shared" si="8"/>
        <v>0</v>
      </c>
      <c r="M32" s="6">
        <f t="shared" si="8"/>
        <v>0</v>
      </c>
    </row>
    <row r="33" spans="1:13" s="48" customFormat="1" ht="25.5">
      <c r="A33" s="39">
        <v>22</v>
      </c>
      <c r="B33" s="39" t="s">
        <v>24</v>
      </c>
      <c r="C33" s="7" t="s">
        <v>25</v>
      </c>
      <c r="D33" s="8">
        <v>3000</v>
      </c>
      <c r="E33" s="8"/>
      <c r="F33" s="4">
        <f>D33+E33</f>
        <v>3000</v>
      </c>
      <c r="G33" s="4"/>
      <c r="H33" s="4">
        <f>F33+G33</f>
        <v>3000</v>
      </c>
      <c r="I33" s="4">
        <v>3000</v>
      </c>
      <c r="J33" s="4"/>
      <c r="K33" s="4"/>
      <c r="L33" s="4"/>
      <c r="M33" s="4"/>
    </row>
    <row r="34" spans="1:13" s="48" customFormat="1" ht="25.5">
      <c r="A34" s="39">
        <v>23</v>
      </c>
      <c r="B34" s="39" t="s">
        <v>24</v>
      </c>
      <c r="C34" s="11" t="s">
        <v>26</v>
      </c>
      <c r="D34" s="8">
        <v>79000</v>
      </c>
      <c r="E34" s="8"/>
      <c r="F34" s="4">
        <f>D34+E34</f>
        <v>79000</v>
      </c>
      <c r="G34" s="4"/>
      <c r="H34" s="4">
        <f>F34+G34</f>
        <v>79000</v>
      </c>
      <c r="I34" s="4">
        <v>79000</v>
      </c>
      <c r="J34" s="4"/>
      <c r="K34" s="4"/>
      <c r="L34" s="4"/>
      <c r="M34" s="4"/>
    </row>
    <row r="35" spans="1:13" s="48" customFormat="1" ht="12.75">
      <c r="A35" s="39">
        <v>24</v>
      </c>
      <c r="B35" s="39" t="s">
        <v>24</v>
      </c>
      <c r="C35" s="7" t="s">
        <v>27</v>
      </c>
      <c r="D35" s="8">
        <v>310000</v>
      </c>
      <c r="E35" s="8"/>
      <c r="F35" s="4">
        <f>D35+E35</f>
        <v>310000</v>
      </c>
      <c r="G35" s="4"/>
      <c r="H35" s="4">
        <f>F35+G35</f>
        <v>310000</v>
      </c>
      <c r="I35" s="4">
        <v>310000</v>
      </c>
      <c r="J35" s="4"/>
      <c r="K35" s="4"/>
      <c r="L35" s="4"/>
      <c r="M35" s="4"/>
    </row>
    <row r="36" spans="1:13" s="48" customFormat="1" ht="25.5">
      <c r="A36" s="39">
        <v>25</v>
      </c>
      <c r="B36" s="39" t="s">
        <v>236</v>
      </c>
      <c r="C36" s="7" t="s">
        <v>237</v>
      </c>
      <c r="D36" s="8"/>
      <c r="E36" s="8"/>
      <c r="F36" s="4">
        <v>2050000</v>
      </c>
      <c r="G36" s="4"/>
      <c r="H36" s="4">
        <f>F36+G36</f>
        <v>2050000</v>
      </c>
      <c r="I36" s="4"/>
      <c r="J36" s="4">
        <v>164000</v>
      </c>
      <c r="K36" s="4">
        <v>1886000</v>
      </c>
      <c r="L36" s="4"/>
      <c r="M36" s="4"/>
    </row>
    <row r="37" spans="1:13" s="48" customFormat="1" ht="12.75">
      <c r="A37" s="40"/>
      <c r="B37" s="40"/>
      <c r="C37" s="9" t="s">
        <v>140</v>
      </c>
      <c r="D37" s="6">
        <f aca="true" t="shared" si="9" ref="D37:M37">D38+D41</f>
        <v>15172000</v>
      </c>
      <c r="E37" s="6">
        <f t="shared" si="9"/>
        <v>-169000</v>
      </c>
      <c r="F37" s="6">
        <f t="shared" si="9"/>
        <v>15093000</v>
      </c>
      <c r="G37" s="6">
        <f t="shared" si="9"/>
        <v>-139000</v>
      </c>
      <c r="H37" s="6">
        <f t="shared" si="9"/>
        <v>14954000</v>
      </c>
      <c r="I37" s="6">
        <f t="shared" si="9"/>
        <v>14954000</v>
      </c>
      <c r="J37" s="6">
        <f t="shared" si="9"/>
        <v>0</v>
      </c>
      <c r="K37" s="6">
        <f t="shared" si="9"/>
        <v>0</v>
      </c>
      <c r="L37" s="6">
        <f t="shared" si="9"/>
        <v>0</v>
      </c>
      <c r="M37" s="6">
        <f t="shared" si="9"/>
        <v>0</v>
      </c>
    </row>
    <row r="38" spans="1:13" s="48" customFormat="1" ht="12.75">
      <c r="A38" s="40"/>
      <c r="B38" s="40"/>
      <c r="C38" s="51" t="s">
        <v>141</v>
      </c>
      <c r="D38" s="6">
        <f aca="true" t="shared" si="10" ref="D38:M38">SUM(D39:D40)</f>
        <v>9360000</v>
      </c>
      <c r="E38" s="6">
        <f t="shared" si="10"/>
        <v>0</v>
      </c>
      <c r="F38" s="6">
        <f t="shared" si="10"/>
        <v>9312000</v>
      </c>
      <c r="G38" s="6">
        <f t="shared" si="10"/>
        <v>-127000</v>
      </c>
      <c r="H38" s="6">
        <f t="shared" si="10"/>
        <v>9185000</v>
      </c>
      <c r="I38" s="6">
        <f t="shared" si="10"/>
        <v>9185000</v>
      </c>
      <c r="J38" s="6">
        <f t="shared" si="10"/>
        <v>0</v>
      </c>
      <c r="K38" s="6">
        <f t="shared" si="10"/>
        <v>0</v>
      </c>
      <c r="L38" s="6">
        <f t="shared" si="10"/>
        <v>0</v>
      </c>
      <c r="M38" s="6">
        <f t="shared" si="10"/>
        <v>0</v>
      </c>
    </row>
    <row r="39" spans="1:13" s="48" customFormat="1" ht="12.75">
      <c r="A39" s="39">
        <v>26</v>
      </c>
      <c r="B39" s="39" t="s">
        <v>28</v>
      </c>
      <c r="C39" s="3" t="s">
        <v>29</v>
      </c>
      <c r="D39" s="4">
        <v>9000000</v>
      </c>
      <c r="E39" s="4"/>
      <c r="F39" s="4">
        <f>D39+E39</f>
        <v>9000000</v>
      </c>
      <c r="G39" s="4"/>
      <c r="H39" s="4">
        <f>F39+G39</f>
        <v>9000000</v>
      </c>
      <c r="I39" s="4">
        <f>9000000</f>
        <v>9000000</v>
      </c>
      <c r="J39" s="4"/>
      <c r="K39" s="4"/>
      <c r="L39" s="4"/>
      <c r="M39" s="4"/>
    </row>
    <row r="40" spans="1:13" s="48" customFormat="1" ht="25.5">
      <c r="A40" s="39">
        <v>27</v>
      </c>
      <c r="B40" s="39" t="s">
        <v>28</v>
      </c>
      <c r="C40" s="3" t="s">
        <v>30</v>
      </c>
      <c r="D40" s="59">
        <v>360000</v>
      </c>
      <c r="E40" s="59"/>
      <c r="F40" s="4">
        <v>312000</v>
      </c>
      <c r="G40" s="4">
        <v>-127000</v>
      </c>
      <c r="H40" s="4">
        <f>F40+G40</f>
        <v>185000</v>
      </c>
      <c r="I40" s="4">
        <v>185000</v>
      </c>
      <c r="J40" s="4"/>
      <c r="K40" s="4"/>
      <c r="L40" s="4"/>
      <c r="M40" s="4"/>
    </row>
    <row r="41" spans="1:13" s="48" customFormat="1" ht="12.75">
      <c r="A41" s="40"/>
      <c r="B41" s="40"/>
      <c r="C41" s="51" t="s">
        <v>142</v>
      </c>
      <c r="D41" s="6">
        <f>SUM(D42:D54)</f>
        <v>5812000</v>
      </c>
      <c r="E41" s="6">
        <f>SUM(E42:E53)</f>
        <v>-169000</v>
      </c>
      <c r="F41" s="6">
        <f>SUM(F42:F55)</f>
        <v>5781000</v>
      </c>
      <c r="G41" s="6">
        <f aca="true" t="shared" si="11" ref="G41:M41">SUM(G42:G55)</f>
        <v>-12000</v>
      </c>
      <c r="H41" s="6">
        <f t="shared" si="11"/>
        <v>5769000</v>
      </c>
      <c r="I41" s="6">
        <f t="shared" si="11"/>
        <v>5769000</v>
      </c>
      <c r="J41" s="6">
        <f t="shared" si="11"/>
        <v>0</v>
      </c>
      <c r="K41" s="6">
        <f t="shared" si="11"/>
        <v>0</v>
      </c>
      <c r="L41" s="6">
        <f t="shared" si="11"/>
        <v>0</v>
      </c>
      <c r="M41" s="6">
        <f t="shared" si="11"/>
        <v>0</v>
      </c>
    </row>
    <row r="42" spans="1:13" s="48" customFormat="1" ht="12.75">
      <c r="A42" s="39">
        <v>28</v>
      </c>
      <c r="B42" s="39" t="s">
        <v>28</v>
      </c>
      <c r="C42" s="3" t="s">
        <v>33</v>
      </c>
      <c r="D42" s="59">
        <v>1206000</v>
      </c>
      <c r="E42" s="59"/>
      <c r="F42" s="4">
        <f>D42+E42</f>
        <v>1206000</v>
      </c>
      <c r="G42" s="4"/>
      <c r="H42" s="4">
        <f aca="true" t="shared" si="12" ref="H42:H55">F42+G42</f>
        <v>1206000</v>
      </c>
      <c r="I42" s="4">
        <v>1206000</v>
      </c>
      <c r="J42" s="4"/>
      <c r="K42" s="4"/>
      <c r="L42" s="4"/>
      <c r="M42" s="4"/>
    </row>
    <row r="43" spans="1:13" s="48" customFormat="1" ht="12.75">
      <c r="A43" s="39">
        <v>29</v>
      </c>
      <c r="B43" s="39" t="s">
        <v>134</v>
      </c>
      <c r="C43" s="3" t="s">
        <v>132</v>
      </c>
      <c r="D43" s="59">
        <v>178000</v>
      </c>
      <c r="E43" s="59"/>
      <c r="F43" s="4">
        <v>158000</v>
      </c>
      <c r="G43" s="4">
        <v>12000</v>
      </c>
      <c r="H43" s="4">
        <f t="shared" si="12"/>
        <v>170000</v>
      </c>
      <c r="I43" s="4">
        <f>178000-24000+4000+12000</f>
        <v>170000</v>
      </c>
      <c r="J43" s="4"/>
      <c r="K43" s="4"/>
      <c r="L43" s="4"/>
      <c r="M43" s="4"/>
    </row>
    <row r="44" spans="1:13" s="48" customFormat="1" ht="12.75">
      <c r="A44" s="39">
        <v>30</v>
      </c>
      <c r="B44" s="39" t="s">
        <v>134</v>
      </c>
      <c r="C44" s="3" t="s">
        <v>133</v>
      </c>
      <c r="D44" s="59">
        <v>250000</v>
      </c>
      <c r="E44" s="59"/>
      <c r="F44" s="4">
        <v>246000</v>
      </c>
      <c r="G44" s="4">
        <v>-35000</v>
      </c>
      <c r="H44" s="4">
        <f t="shared" si="12"/>
        <v>211000</v>
      </c>
      <c r="I44" s="4">
        <f>250000-4000-35000</f>
        <v>211000</v>
      </c>
      <c r="J44" s="4"/>
      <c r="K44" s="4"/>
      <c r="L44" s="4"/>
      <c r="M44" s="4"/>
    </row>
    <row r="45" spans="1:13" s="48" customFormat="1" ht="12.75">
      <c r="A45" s="39">
        <v>31</v>
      </c>
      <c r="B45" s="39" t="s">
        <v>28</v>
      </c>
      <c r="C45" s="3" t="s">
        <v>172</v>
      </c>
      <c r="D45" s="59">
        <v>2620000</v>
      </c>
      <c r="E45" s="59">
        <v>36000</v>
      </c>
      <c r="F45" s="4">
        <f aca="true" t="shared" si="13" ref="F45:F52">D45+E45</f>
        <v>2656000</v>
      </c>
      <c r="G45" s="4"/>
      <c r="H45" s="4">
        <f t="shared" si="12"/>
        <v>2656000</v>
      </c>
      <c r="I45" s="4">
        <f>2620000+36000</f>
        <v>2656000</v>
      </c>
      <c r="J45" s="4"/>
      <c r="K45" s="4"/>
      <c r="L45" s="4"/>
      <c r="M45" s="4"/>
    </row>
    <row r="46" spans="1:13" s="48" customFormat="1" ht="12.75">
      <c r="A46" s="39">
        <v>32</v>
      </c>
      <c r="B46" s="39" t="s">
        <v>28</v>
      </c>
      <c r="C46" s="3" t="s">
        <v>143</v>
      </c>
      <c r="D46" s="59">
        <v>100000</v>
      </c>
      <c r="E46" s="59"/>
      <c r="F46" s="4">
        <f t="shared" si="13"/>
        <v>100000</v>
      </c>
      <c r="G46" s="4"/>
      <c r="H46" s="4">
        <f t="shared" si="12"/>
        <v>100000</v>
      </c>
      <c r="I46" s="4">
        <v>100000</v>
      </c>
      <c r="J46" s="4"/>
      <c r="K46" s="4"/>
      <c r="L46" s="4"/>
      <c r="M46" s="4"/>
    </row>
    <row r="47" spans="1:13" s="48" customFormat="1" ht="25.5">
      <c r="A47" s="39">
        <v>33</v>
      </c>
      <c r="B47" s="39" t="s">
        <v>28</v>
      </c>
      <c r="C47" s="3" t="s">
        <v>34</v>
      </c>
      <c r="D47" s="59">
        <v>420000</v>
      </c>
      <c r="E47" s="59"/>
      <c r="F47" s="4">
        <f t="shared" si="13"/>
        <v>420000</v>
      </c>
      <c r="G47" s="4"/>
      <c r="H47" s="4">
        <f t="shared" si="12"/>
        <v>420000</v>
      </c>
      <c r="I47" s="4">
        <v>420000</v>
      </c>
      <c r="J47" s="4"/>
      <c r="K47" s="4"/>
      <c r="L47" s="4"/>
      <c r="M47" s="4"/>
    </row>
    <row r="48" spans="1:13" s="48" customFormat="1" ht="25.5">
      <c r="A48" s="39">
        <v>34</v>
      </c>
      <c r="B48" s="39" t="s">
        <v>28</v>
      </c>
      <c r="C48" s="3" t="s">
        <v>144</v>
      </c>
      <c r="D48" s="59">
        <v>76000</v>
      </c>
      <c r="E48" s="59"/>
      <c r="F48" s="4">
        <f t="shared" si="13"/>
        <v>76000</v>
      </c>
      <c r="G48" s="4"/>
      <c r="H48" s="4">
        <f t="shared" si="12"/>
        <v>76000</v>
      </c>
      <c r="I48" s="4">
        <v>76000</v>
      </c>
      <c r="J48" s="4"/>
      <c r="K48" s="4"/>
      <c r="L48" s="4"/>
      <c r="M48" s="4"/>
    </row>
    <row r="49" spans="1:13" s="48" customFormat="1" ht="25.5">
      <c r="A49" s="39">
        <v>35</v>
      </c>
      <c r="B49" s="39" t="s">
        <v>28</v>
      </c>
      <c r="C49" s="3" t="s">
        <v>145</v>
      </c>
      <c r="D49" s="59">
        <v>3000</v>
      </c>
      <c r="E49" s="59"/>
      <c r="F49" s="4">
        <f t="shared" si="13"/>
        <v>3000</v>
      </c>
      <c r="G49" s="4"/>
      <c r="H49" s="4">
        <f t="shared" si="12"/>
        <v>3000</v>
      </c>
      <c r="I49" s="4">
        <v>3000</v>
      </c>
      <c r="J49" s="4"/>
      <c r="K49" s="4"/>
      <c r="L49" s="4"/>
      <c r="M49" s="4"/>
    </row>
    <row r="50" spans="1:13" s="48" customFormat="1" ht="12.75">
      <c r="A50" s="39">
        <v>36</v>
      </c>
      <c r="B50" s="39" t="s">
        <v>28</v>
      </c>
      <c r="C50" s="3" t="s">
        <v>31</v>
      </c>
      <c r="D50" s="59">
        <v>51000</v>
      </c>
      <c r="E50" s="59"/>
      <c r="F50" s="4">
        <f t="shared" si="13"/>
        <v>51000</v>
      </c>
      <c r="G50" s="4"/>
      <c r="H50" s="4">
        <f t="shared" si="12"/>
        <v>51000</v>
      </c>
      <c r="I50" s="4">
        <v>51000</v>
      </c>
      <c r="J50" s="4"/>
      <c r="K50" s="4"/>
      <c r="L50" s="4"/>
      <c r="M50" s="4"/>
    </row>
    <row r="51" spans="1:13" s="48" customFormat="1" ht="12.75">
      <c r="A51" s="39">
        <v>37</v>
      </c>
      <c r="B51" s="39" t="s">
        <v>28</v>
      </c>
      <c r="C51" s="3" t="s">
        <v>32</v>
      </c>
      <c r="D51" s="59">
        <v>3000</v>
      </c>
      <c r="E51" s="59"/>
      <c r="F51" s="4">
        <f t="shared" si="13"/>
        <v>3000</v>
      </c>
      <c r="G51" s="4"/>
      <c r="H51" s="4">
        <f t="shared" si="12"/>
        <v>3000</v>
      </c>
      <c r="I51" s="4">
        <v>3000</v>
      </c>
      <c r="J51" s="4"/>
      <c r="K51" s="4"/>
      <c r="L51" s="4"/>
      <c r="M51" s="4"/>
    </row>
    <row r="52" spans="1:13" s="48" customFormat="1" ht="12.75">
      <c r="A52" s="39">
        <v>38</v>
      </c>
      <c r="B52" s="39" t="s">
        <v>28</v>
      </c>
      <c r="C52" s="3" t="s">
        <v>173</v>
      </c>
      <c r="D52" s="59">
        <v>92000</v>
      </c>
      <c r="E52" s="59"/>
      <c r="F52" s="4">
        <f t="shared" si="13"/>
        <v>92000</v>
      </c>
      <c r="G52" s="4"/>
      <c r="H52" s="4">
        <f t="shared" si="12"/>
        <v>92000</v>
      </c>
      <c r="I52" s="4">
        <v>92000</v>
      </c>
      <c r="J52" s="4"/>
      <c r="K52" s="4"/>
      <c r="L52" s="4"/>
      <c r="M52" s="4"/>
    </row>
    <row r="53" spans="1:13" s="48" customFormat="1" ht="12.75">
      <c r="A53" s="39">
        <v>39</v>
      </c>
      <c r="B53" s="39" t="s">
        <v>28</v>
      </c>
      <c r="C53" s="3" t="s">
        <v>131</v>
      </c>
      <c r="D53" s="59">
        <v>813000</v>
      </c>
      <c r="E53" s="59">
        <v>-205000</v>
      </c>
      <c r="F53" s="4">
        <v>759000</v>
      </c>
      <c r="G53" s="4"/>
      <c r="H53" s="4">
        <f t="shared" si="12"/>
        <v>759000</v>
      </c>
      <c r="I53" s="4">
        <f>597000+162000</f>
        <v>759000</v>
      </c>
      <c r="J53" s="4"/>
      <c r="K53" s="4"/>
      <c r="L53" s="4"/>
      <c r="M53" s="4"/>
    </row>
    <row r="54" spans="1:13" s="48" customFormat="1" ht="25.5">
      <c r="A54" s="39">
        <v>40</v>
      </c>
      <c r="B54" s="39" t="s">
        <v>28</v>
      </c>
      <c r="C54" s="60" t="s">
        <v>216</v>
      </c>
      <c r="D54" s="59"/>
      <c r="E54" s="59"/>
      <c r="F54" s="4">
        <v>11000</v>
      </c>
      <c r="G54" s="4"/>
      <c r="H54" s="4">
        <f t="shared" si="12"/>
        <v>11000</v>
      </c>
      <c r="I54" s="4">
        <v>11000</v>
      </c>
      <c r="J54" s="4"/>
      <c r="K54" s="4"/>
      <c r="L54" s="4"/>
      <c r="M54" s="4"/>
    </row>
    <row r="55" spans="1:13" s="48" customFormat="1" ht="12.75">
      <c r="A55" s="39">
        <v>41</v>
      </c>
      <c r="B55" s="39" t="s">
        <v>28</v>
      </c>
      <c r="C55" s="70" t="s">
        <v>262</v>
      </c>
      <c r="D55" s="59"/>
      <c r="E55" s="59"/>
      <c r="F55" s="4"/>
      <c r="G55" s="4">
        <v>11000</v>
      </c>
      <c r="H55" s="4">
        <f t="shared" si="12"/>
        <v>11000</v>
      </c>
      <c r="I55" s="4">
        <v>11000</v>
      </c>
      <c r="J55" s="4"/>
      <c r="K55" s="4"/>
      <c r="L55" s="4"/>
      <c r="M55" s="4"/>
    </row>
    <row r="56" spans="1:14" s="68" customFormat="1" ht="12.75">
      <c r="A56" s="40"/>
      <c r="B56" s="40"/>
      <c r="C56" s="67" t="s">
        <v>244</v>
      </c>
      <c r="D56" s="10"/>
      <c r="E56" s="10"/>
      <c r="F56" s="10">
        <f aca="true" t="shared" si="14" ref="F56:M56">SUM(F57)</f>
        <v>3000</v>
      </c>
      <c r="G56" s="10">
        <f t="shared" si="14"/>
        <v>0</v>
      </c>
      <c r="H56" s="10">
        <f t="shared" si="14"/>
        <v>3000</v>
      </c>
      <c r="I56" s="10">
        <f t="shared" si="14"/>
        <v>3000</v>
      </c>
      <c r="J56" s="10">
        <f t="shared" si="14"/>
        <v>0</v>
      </c>
      <c r="K56" s="10">
        <f t="shared" si="14"/>
        <v>0</v>
      </c>
      <c r="L56" s="10">
        <f t="shared" si="14"/>
        <v>0</v>
      </c>
      <c r="M56" s="10">
        <f t="shared" si="14"/>
        <v>0</v>
      </c>
      <c r="N56" s="48"/>
    </row>
    <row r="57" spans="1:13" s="48" customFormat="1" ht="12.75">
      <c r="A57" s="39">
        <v>42</v>
      </c>
      <c r="B57" s="39" t="s">
        <v>246</v>
      </c>
      <c r="C57" s="5" t="s">
        <v>235</v>
      </c>
      <c r="D57" s="4"/>
      <c r="E57" s="4"/>
      <c r="F57" s="4">
        <v>3000</v>
      </c>
      <c r="G57" s="4"/>
      <c r="H57" s="4">
        <f>F57+G57</f>
        <v>3000</v>
      </c>
      <c r="I57" s="4">
        <v>3000</v>
      </c>
      <c r="J57" s="4"/>
      <c r="K57" s="4"/>
      <c r="L57" s="4"/>
      <c r="M57" s="4"/>
    </row>
    <row r="58" spans="1:13" s="48" customFormat="1" ht="12.75">
      <c r="A58" s="12"/>
      <c r="B58" s="12" t="s">
        <v>35</v>
      </c>
      <c r="C58" s="13" t="s">
        <v>175</v>
      </c>
      <c r="D58" s="1">
        <f>SUM(D59:D60)</f>
        <v>7000</v>
      </c>
      <c r="E58" s="1">
        <f>SUM(E59:E60)</f>
        <v>0</v>
      </c>
      <c r="F58" s="1">
        <f>SUM(F59:F61)</f>
        <v>10000</v>
      </c>
      <c r="G58" s="1">
        <f aca="true" t="shared" si="15" ref="G58:M58">SUM(G59:G61)</f>
        <v>1500</v>
      </c>
      <c r="H58" s="1">
        <f t="shared" si="15"/>
        <v>11500</v>
      </c>
      <c r="I58" s="1">
        <f t="shared" si="15"/>
        <v>11500</v>
      </c>
      <c r="J58" s="1">
        <f t="shared" si="15"/>
        <v>0</v>
      </c>
      <c r="K58" s="1">
        <f t="shared" si="15"/>
        <v>0</v>
      </c>
      <c r="L58" s="1">
        <f t="shared" si="15"/>
        <v>0</v>
      </c>
      <c r="M58" s="1">
        <f t="shared" si="15"/>
        <v>0</v>
      </c>
    </row>
    <row r="59" spans="1:13" s="48" customFormat="1" ht="12.75">
      <c r="A59" s="39">
        <v>1</v>
      </c>
      <c r="B59" s="39" t="s">
        <v>36</v>
      </c>
      <c r="C59" s="14" t="s">
        <v>37</v>
      </c>
      <c r="D59" s="8">
        <v>3000</v>
      </c>
      <c r="E59" s="8"/>
      <c r="F59" s="4">
        <f>D59+E59</f>
        <v>3000</v>
      </c>
      <c r="G59" s="4"/>
      <c r="H59" s="4">
        <f>F59+G59</f>
        <v>3000</v>
      </c>
      <c r="I59" s="4">
        <f>3000</f>
        <v>3000</v>
      </c>
      <c r="J59" s="4"/>
      <c r="K59" s="4"/>
      <c r="L59" s="4"/>
      <c r="M59" s="4"/>
    </row>
    <row r="60" spans="1:13" s="48" customFormat="1" ht="12.75">
      <c r="A60" s="39">
        <v>2</v>
      </c>
      <c r="B60" s="39" t="s">
        <v>36</v>
      </c>
      <c r="C60" s="14" t="s">
        <v>38</v>
      </c>
      <c r="D60" s="8">
        <v>4000</v>
      </c>
      <c r="E60" s="8"/>
      <c r="F60" s="4">
        <v>7000</v>
      </c>
      <c r="G60" s="4"/>
      <c r="H60" s="4">
        <f>F60+G60</f>
        <v>7000</v>
      </c>
      <c r="I60" s="4">
        <f>4000+3000</f>
        <v>7000</v>
      </c>
      <c r="J60" s="4"/>
      <c r="K60" s="4"/>
      <c r="L60" s="4"/>
      <c r="M60" s="4"/>
    </row>
    <row r="61" spans="1:13" s="48" customFormat="1" ht="12.75">
      <c r="A61" s="39">
        <v>3</v>
      </c>
      <c r="B61" s="39" t="s">
        <v>36</v>
      </c>
      <c r="C61" s="14" t="s">
        <v>263</v>
      </c>
      <c r="D61" s="8"/>
      <c r="E61" s="8"/>
      <c r="F61" s="4"/>
      <c r="G61" s="4">
        <v>1500</v>
      </c>
      <c r="H61" s="4">
        <f>F61+G61</f>
        <v>1500</v>
      </c>
      <c r="I61" s="4">
        <v>1500</v>
      </c>
      <c r="J61" s="4"/>
      <c r="K61" s="4"/>
      <c r="L61" s="4"/>
      <c r="M61" s="4"/>
    </row>
    <row r="62" spans="1:13" s="48" customFormat="1" ht="12.75">
      <c r="A62" s="12"/>
      <c r="B62" s="12" t="s">
        <v>35</v>
      </c>
      <c r="C62" s="13" t="s">
        <v>176</v>
      </c>
      <c r="D62" s="15">
        <f>SUM(D63:D65)</f>
        <v>28000</v>
      </c>
      <c r="E62" s="15">
        <f>SUM(E63:E65)</f>
        <v>3000</v>
      </c>
      <c r="F62" s="15">
        <f aca="true" t="shared" si="16" ref="F62:M62">SUM(F63:F67)</f>
        <v>34000</v>
      </c>
      <c r="G62" s="15">
        <f t="shared" si="16"/>
        <v>0</v>
      </c>
      <c r="H62" s="15">
        <f t="shared" si="16"/>
        <v>34000</v>
      </c>
      <c r="I62" s="15">
        <f t="shared" si="16"/>
        <v>34000</v>
      </c>
      <c r="J62" s="15">
        <f t="shared" si="16"/>
        <v>0</v>
      </c>
      <c r="K62" s="15">
        <f t="shared" si="16"/>
        <v>0</v>
      </c>
      <c r="L62" s="15">
        <f t="shared" si="16"/>
        <v>0</v>
      </c>
      <c r="M62" s="15">
        <f t="shared" si="16"/>
        <v>0</v>
      </c>
    </row>
    <row r="63" spans="1:13" s="48" customFormat="1" ht="12.75">
      <c r="A63" s="39">
        <v>1</v>
      </c>
      <c r="B63" s="39" t="s">
        <v>36</v>
      </c>
      <c r="C63" s="14" t="s">
        <v>39</v>
      </c>
      <c r="D63" s="8">
        <v>3000</v>
      </c>
      <c r="E63" s="8"/>
      <c r="F63" s="4">
        <f>D63+E63</f>
        <v>3000</v>
      </c>
      <c r="G63" s="4"/>
      <c r="H63" s="4">
        <f>F63+G63</f>
        <v>3000</v>
      </c>
      <c r="I63" s="4">
        <v>3000</v>
      </c>
      <c r="J63" s="4"/>
      <c r="K63" s="4"/>
      <c r="L63" s="4"/>
      <c r="M63" s="4"/>
    </row>
    <row r="64" spans="1:13" s="48" customFormat="1" ht="25.5">
      <c r="A64" s="39">
        <v>2</v>
      </c>
      <c r="B64" s="39" t="s">
        <v>36</v>
      </c>
      <c r="C64" s="14" t="s">
        <v>146</v>
      </c>
      <c r="D64" s="8">
        <v>20000</v>
      </c>
      <c r="E64" s="8">
        <v>3000</v>
      </c>
      <c r="F64" s="4">
        <v>12000</v>
      </c>
      <c r="G64" s="4"/>
      <c r="H64" s="4">
        <f>F64+G64</f>
        <v>12000</v>
      </c>
      <c r="I64" s="4">
        <f>23000-11000</f>
        <v>12000</v>
      </c>
      <c r="J64" s="4"/>
      <c r="K64" s="4"/>
      <c r="L64" s="4"/>
      <c r="M64" s="4"/>
    </row>
    <row r="65" spans="1:13" s="48" customFormat="1" ht="12.75">
      <c r="A65" s="39">
        <v>3</v>
      </c>
      <c r="B65" s="39" t="s">
        <v>36</v>
      </c>
      <c r="C65" s="14" t="s">
        <v>40</v>
      </c>
      <c r="D65" s="8">
        <v>5000</v>
      </c>
      <c r="E65" s="8"/>
      <c r="F65" s="4">
        <f>D65+E65</f>
        <v>5000</v>
      </c>
      <c r="G65" s="4"/>
      <c r="H65" s="4">
        <f>F65+G65</f>
        <v>5000</v>
      </c>
      <c r="I65" s="4">
        <v>5000</v>
      </c>
      <c r="J65" s="4"/>
      <c r="K65" s="4"/>
      <c r="L65" s="4"/>
      <c r="M65" s="4"/>
    </row>
    <row r="66" spans="1:13" s="48" customFormat="1" ht="12.75">
      <c r="A66" s="39">
        <v>4</v>
      </c>
      <c r="B66" s="39" t="s">
        <v>36</v>
      </c>
      <c r="C66" s="14" t="s">
        <v>255</v>
      </c>
      <c r="D66" s="8"/>
      <c r="E66" s="8"/>
      <c r="F66" s="4">
        <v>7000</v>
      </c>
      <c r="G66" s="4"/>
      <c r="H66" s="4">
        <f>F66+G66</f>
        <v>7000</v>
      </c>
      <c r="I66" s="4">
        <v>7000</v>
      </c>
      <c r="J66" s="4"/>
      <c r="K66" s="4"/>
      <c r="L66" s="4"/>
      <c r="M66" s="4"/>
    </row>
    <row r="67" spans="1:13" s="48" customFormat="1" ht="12.75">
      <c r="A67" s="39">
        <v>5</v>
      </c>
      <c r="B67" s="39" t="s">
        <v>36</v>
      </c>
      <c r="C67" s="14" t="s">
        <v>256</v>
      </c>
      <c r="D67" s="8"/>
      <c r="E67" s="8"/>
      <c r="F67" s="4">
        <v>7000</v>
      </c>
      <c r="G67" s="4"/>
      <c r="H67" s="4">
        <f>F67+G67</f>
        <v>7000</v>
      </c>
      <c r="I67" s="4">
        <f>4000+3000</f>
        <v>7000</v>
      </c>
      <c r="J67" s="4"/>
      <c r="K67" s="4"/>
      <c r="L67" s="4"/>
      <c r="M67" s="4"/>
    </row>
    <row r="68" spans="1:13" s="48" customFormat="1" ht="12.75">
      <c r="A68" s="16"/>
      <c r="B68" s="16" t="s">
        <v>167</v>
      </c>
      <c r="C68" s="17" t="s">
        <v>177</v>
      </c>
      <c r="D68" s="18">
        <f aca="true" t="shared" si="17" ref="D68:M68">D69</f>
        <v>5000</v>
      </c>
      <c r="E68" s="18">
        <f t="shared" si="17"/>
        <v>0</v>
      </c>
      <c r="F68" s="18">
        <f t="shared" si="17"/>
        <v>5000</v>
      </c>
      <c r="G68" s="18">
        <f t="shared" si="17"/>
        <v>0</v>
      </c>
      <c r="H68" s="18">
        <f t="shared" si="17"/>
        <v>5000</v>
      </c>
      <c r="I68" s="18">
        <f t="shared" si="17"/>
        <v>5000</v>
      </c>
      <c r="J68" s="18">
        <f t="shared" si="17"/>
        <v>0</v>
      </c>
      <c r="K68" s="18">
        <f t="shared" si="17"/>
        <v>0</v>
      </c>
      <c r="L68" s="18">
        <f t="shared" si="17"/>
        <v>0</v>
      </c>
      <c r="M68" s="18">
        <f t="shared" si="17"/>
        <v>0</v>
      </c>
    </row>
    <row r="69" spans="1:13" s="48" customFormat="1" ht="12.75">
      <c r="A69" s="39">
        <v>1</v>
      </c>
      <c r="B69" s="39" t="s">
        <v>41</v>
      </c>
      <c r="C69" s="14" t="s">
        <v>42</v>
      </c>
      <c r="D69" s="8">
        <v>5000</v>
      </c>
      <c r="E69" s="8"/>
      <c r="F69" s="4">
        <f>D69+E69</f>
        <v>5000</v>
      </c>
      <c r="G69" s="4"/>
      <c r="H69" s="4">
        <f>F69+G69</f>
        <v>5000</v>
      </c>
      <c r="I69" s="4">
        <v>5000</v>
      </c>
      <c r="J69" s="4"/>
      <c r="K69" s="4"/>
      <c r="L69" s="4"/>
      <c r="M69" s="4"/>
    </row>
    <row r="70" spans="1:13" s="48" customFormat="1" ht="12.75">
      <c r="A70" s="16"/>
      <c r="B70" s="16" t="s">
        <v>167</v>
      </c>
      <c r="C70" s="17" t="s">
        <v>178</v>
      </c>
      <c r="D70" s="18">
        <f aca="true" t="shared" si="18" ref="D70:M70">SUM(D71:D71)</f>
        <v>2000</v>
      </c>
      <c r="E70" s="18">
        <f t="shared" si="18"/>
        <v>0</v>
      </c>
      <c r="F70" s="18">
        <f t="shared" si="18"/>
        <v>2000</v>
      </c>
      <c r="G70" s="18">
        <f t="shared" si="18"/>
        <v>0</v>
      </c>
      <c r="H70" s="18">
        <f t="shared" si="18"/>
        <v>2000</v>
      </c>
      <c r="I70" s="18">
        <f t="shared" si="18"/>
        <v>2000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</row>
    <row r="71" spans="1:13" s="48" customFormat="1" ht="12.75">
      <c r="A71" s="39">
        <v>1</v>
      </c>
      <c r="B71" s="39" t="s">
        <v>41</v>
      </c>
      <c r="C71" s="14" t="s">
        <v>43</v>
      </c>
      <c r="D71" s="8">
        <v>2000</v>
      </c>
      <c r="E71" s="8"/>
      <c r="F71" s="4">
        <f>D71+E71</f>
        <v>2000</v>
      </c>
      <c r="G71" s="4"/>
      <c r="H71" s="4">
        <f>F71+G71</f>
        <v>2000</v>
      </c>
      <c r="I71" s="4">
        <v>2000</v>
      </c>
      <c r="J71" s="4"/>
      <c r="K71" s="4"/>
      <c r="L71" s="4"/>
      <c r="M71" s="4"/>
    </row>
    <row r="72" spans="1:13" s="48" customFormat="1" ht="12.75">
      <c r="A72" s="16"/>
      <c r="B72" s="16" t="s">
        <v>167</v>
      </c>
      <c r="C72" s="17" t="s">
        <v>179</v>
      </c>
      <c r="D72" s="18">
        <f aca="true" t="shared" si="19" ref="D72:M72">SUM(D73:D74)</f>
        <v>80000</v>
      </c>
      <c r="E72" s="18">
        <f t="shared" si="19"/>
        <v>0</v>
      </c>
      <c r="F72" s="18">
        <f t="shared" si="19"/>
        <v>80000</v>
      </c>
      <c r="G72" s="18">
        <f t="shared" si="19"/>
        <v>0</v>
      </c>
      <c r="H72" s="18">
        <f t="shared" si="19"/>
        <v>80000</v>
      </c>
      <c r="I72" s="18">
        <f t="shared" si="19"/>
        <v>80000</v>
      </c>
      <c r="J72" s="18">
        <f t="shared" si="19"/>
        <v>0</v>
      </c>
      <c r="K72" s="18">
        <f t="shared" si="19"/>
        <v>0</v>
      </c>
      <c r="L72" s="18">
        <f t="shared" si="19"/>
        <v>0</v>
      </c>
      <c r="M72" s="18">
        <f t="shared" si="19"/>
        <v>0</v>
      </c>
    </row>
    <row r="73" spans="1:13" s="48" customFormat="1" ht="12.75">
      <c r="A73" s="39">
        <v>1</v>
      </c>
      <c r="B73" s="39" t="s">
        <v>41</v>
      </c>
      <c r="C73" s="19" t="s">
        <v>44</v>
      </c>
      <c r="D73" s="20">
        <v>80000</v>
      </c>
      <c r="E73" s="20">
        <v>-23456</v>
      </c>
      <c r="F73" s="4">
        <f>D73+E73</f>
        <v>56544</v>
      </c>
      <c r="G73" s="4"/>
      <c r="H73" s="4">
        <f>F73+G73</f>
        <v>56544</v>
      </c>
      <c r="I73" s="4">
        <f>80000-23456</f>
        <v>56544</v>
      </c>
      <c r="J73" s="4"/>
      <c r="K73" s="4"/>
      <c r="L73" s="4"/>
      <c r="M73" s="4"/>
    </row>
    <row r="74" spans="1:13" s="48" customFormat="1" ht="12.75">
      <c r="A74" s="39">
        <v>2</v>
      </c>
      <c r="B74" s="39" t="s">
        <v>41</v>
      </c>
      <c r="C74" s="19" t="s">
        <v>210</v>
      </c>
      <c r="D74" s="20"/>
      <c r="E74" s="20">
        <v>23456</v>
      </c>
      <c r="F74" s="4">
        <f>D74+E74</f>
        <v>23456</v>
      </c>
      <c r="G74" s="4"/>
      <c r="H74" s="4">
        <f>F74+G74</f>
        <v>23456</v>
      </c>
      <c r="I74" s="4">
        <v>23456</v>
      </c>
      <c r="J74" s="4"/>
      <c r="K74" s="4"/>
      <c r="L74" s="4"/>
      <c r="M74" s="4"/>
    </row>
    <row r="75" spans="1:13" s="48" customFormat="1" ht="12.75">
      <c r="A75" s="41"/>
      <c r="B75" s="41"/>
      <c r="C75" s="21" t="s">
        <v>180</v>
      </c>
      <c r="D75" s="22">
        <f>D76+D82+D88+D134+D137</f>
        <v>11445000</v>
      </c>
      <c r="E75" s="22">
        <f>E76+E82+E88+E134+E137</f>
        <v>-201000</v>
      </c>
      <c r="F75" s="22">
        <f aca="true" t="shared" si="20" ref="F75:M75">F76+F82+F88+F134+F137+F139</f>
        <v>11126900</v>
      </c>
      <c r="G75" s="22">
        <f t="shared" si="20"/>
        <v>81000</v>
      </c>
      <c r="H75" s="22">
        <f t="shared" si="20"/>
        <v>11207900</v>
      </c>
      <c r="I75" s="22">
        <f t="shared" si="20"/>
        <v>11202900</v>
      </c>
      <c r="J75" s="22">
        <f t="shared" si="20"/>
        <v>0</v>
      </c>
      <c r="K75" s="22">
        <f t="shared" si="20"/>
        <v>0</v>
      </c>
      <c r="L75" s="22">
        <f t="shared" si="20"/>
        <v>0</v>
      </c>
      <c r="M75" s="22">
        <f t="shared" si="20"/>
        <v>5000</v>
      </c>
    </row>
    <row r="76" spans="1:13" s="48" customFormat="1" ht="12.75">
      <c r="A76" s="42"/>
      <c r="B76" s="42">
        <v>67</v>
      </c>
      <c r="C76" s="23" t="s">
        <v>181</v>
      </c>
      <c r="D76" s="24">
        <f aca="true" t="shared" si="21" ref="D76:M76">SUM(D77:D81)</f>
        <v>1409000</v>
      </c>
      <c r="E76" s="24">
        <f t="shared" si="21"/>
        <v>0</v>
      </c>
      <c r="F76" s="24">
        <f t="shared" si="21"/>
        <v>1417900</v>
      </c>
      <c r="G76" s="24">
        <f t="shared" si="21"/>
        <v>0</v>
      </c>
      <c r="H76" s="24">
        <f t="shared" si="21"/>
        <v>1417900</v>
      </c>
      <c r="I76" s="24">
        <f t="shared" si="21"/>
        <v>1417900</v>
      </c>
      <c r="J76" s="24">
        <f t="shared" si="21"/>
        <v>0</v>
      </c>
      <c r="K76" s="24">
        <f t="shared" si="21"/>
        <v>0</v>
      </c>
      <c r="L76" s="24">
        <f t="shared" si="21"/>
        <v>0</v>
      </c>
      <c r="M76" s="24">
        <f t="shared" si="21"/>
        <v>0</v>
      </c>
    </row>
    <row r="77" spans="1:13" s="48" customFormat="1" ht="12.75">
      <c r="A77" s="39">
        <v>1</v>
      </c>
      <c r="B77" s="39" t="s">
        <v>45</v>
      </c>
      <c r="C77" s="19" t="s">
        <v>189</v>
      </c>
      <c r="D77" s="20">
        <v>1335000</v>
      </c>
      <c r="E77" s="20"/>
      <c r="F77" s="4">
        <f>D77+E77</f>
        <v>1335000</v>
      </c>
      <c r="G77" s="4"/>
      <c r="H77" s="4">
        <f>F77+G77</f>
        <v>1335000</v>
      </c>
      <c r="I77" s="4">
        <v>1335000</v>
      </c>
      <c r="J77" s="4"/>
      <c r="K77" s="4"/>
      <c r="L77" s="4"/>
      <c r="M77" s="4"/>
    </row>
    <row r="78" spans="1:13" s="48" customFormat="1" ht="25.5">
      <c r="A78" s="39">
        <v>2</v>
      </c>
      <c r="B78" s="39" t="s">
        <v>45</v>
      </c>
      <c r="C78" s="19" t="s">
        <v>46</v>
      </c>
      <c r="D78" s="20">
        <v>4000</v>
      </c>
      <c r="E78" s="20"/>
      <c r="F78" s="4">
        <f>D78+E78</f>
        <v>4000</v>
      </c>
      <c r="G78" s="4"/>
      <c r="H78" s="4">
        <f>F78+G78</f>
        <v>4000</v>
      </c>
      <c r="I78" s="4">
        <v>4000</v>
      </c>
      <c r="J78" s="4"/>
      <c r="K78" s="4"/>
      <c r="L78" s="4"/>
      <c r="M78" s="4"/>
    </row>
    <row r="79" spans="1:13" s="48" customFormat="1" ht="12.75">
      <c r="A79" s="39">
        <v>3</v>
      </c>
      <c r="B79" s="39" t="s">
        <v>19</v>
      </c>
      <c r="C79" s="19" t="s">
        <v>47</v>
      </c>
      <c r="D79" s="20">
        <v>15000</v>
      </c>
      <c r="E79" s="20"/>
      <c r="F79" s="4">
        <f>D79+E79</f>
        <v>15000</v>
      </c>
      <c r="G79" s="4"/>
      <c r="H79" s="4">
        <f>F79+G79</f>
        <v>15000</v>
      </c>
      <c r="I79" s="4">
        <v>15000</v>
      </c>
      <c r="J79" s="4"/>
      <c r="K79" s="4"/>
      <c r="L79" s="4"/>
      <c r="M79" s="4"/>
    </row>
    <row r="80" spans="1:13" s="48" customFormat="1" ht="12.75">
      <c r="A80" s="39">
        <v>4</v>
      </c>
      <c r="B80" s="39" t="s">
        <v>19</v>
      </c>
      <c r="C80" s="19" t="s">
        <v>48</v>
      </c>
      <c r="D80" s="20">
        <v>45000</v>
      </c>
      <c r="E80" s="20"/>
      <c r="F80" s="4">
        <f>D80+E80</f>
        <v>45000</v>
      </c>
      <c r="G80" s="4"/>
      <c r="H80" s="4">
        <f>F80+G80</f>
        <v>45000</v>
      </c>
      <c r="I80" s="4">
        <v>45000</v>
      </c>
      <c r="J80" s="4"/>
      <c r="K80" s="4"/>
      <c r="L80" s="4"/>
      <c r="M80" s="4"/>
    </row>
    <row r="81" spans="1:13" s="48" customFormat="1" ht="12.75">
      <c r="A81" s="39">
        <v>5</v>
      </c>
      <c r="B81" s="39" t="s">
        <v>19</v>
      </c>
      <c r="C81" s="19" t="s">
        <v>49</v>
      </c>
      <c r="D81" s="20">
        <v>10000</v>
      </c>
      <c r="E81" s="20"/>
      <c r="F81" s="4">
        <v>18900</v>
      </c>
      <c r="G81" s="4"/>
      <c r="H81" s="4">
        <f>F81+G81</f>
        <v>18900</v>
      </c>
      <c r="I81" s="4">
        <v>18900</v>
      </c>
      <c r="J81" s="4"/>
      <c r="K81" s="4"/>
      <c r="L81" s="4"/>
      <c r="M81" s="4"/>
    </row>
    <row r="82" spans="1:13" s="48" customFormat="1" ht="12.75">
      <c r="A82" s="42"/>
      <c r="B82" s="42">
        <v>67</v>
      </c>
      <c r="C82" s="23" t="s">
        <v>182</v>
      </c>
      <c r="D82" s="24">
        <f>SUM(D83:D86)</f>
        <v>62000</v>
      </c>
      <c r="E82" s="24">
        <f>SUM(E83:E86)</f>
        <v>0</v>
      </c>
      <c r="F82" s="24">
        <f aca="true" t="shared" si="22" ref="F82:M82">SUM(F83:F87)</f>
        <v>80000</v>
      </c>
      <c r="G82" s="24">
        <f t="shared" si="22"/>
        <v>0</v>
      </c>
      <c r="H82" s="24">
        <f t="shared" si="22"/>
        <v>80000</v>
      </c>
      <c r="I82" s="24">
        <f t="shared" si="22"/>
        <v>80000</v>
      </c>
      <c r="J82" s="24">
        <f t="shared" si="22"/>
        <v>0</v>
      </c>
      <c r="K82" s="24">
        <f t="shared" si="22"/>
        <v>0</v>
      </c>
      <c r="L82" s="24">
        <f t="shared" si="22"/>
        <v>0</v>
      </c>
      <c r="M82" s="24">
        <f t="shared" si="22"/>
        <v>0</v>
      </c>
    </row>
    <row r="83" spans="1:13" s="48" customFormat="1" ht="12.75">
      <c r="A83" s="47">
        <v>1</v>
      </c>
      <c r="B83" s="39" t="s">
        <v>19</v>
      </c>
      <c r="C83" s="25" t="s">
        <v>50</v>
      </c>
      <c r="D83" s="61">
        <v>20000</v>
      </c>
      <c r="E83" s="61"/>
      <c r="F83" s="4">
        <f>D83+E83</f>
        <v>20000</v>
      </c>
      <c r="G83" s="4"/>
      <c r="H83" s="4">
        <f>F83+G83</f>
        <v>20000</v>
      </c>
      <c r="I83" s="4">
        <v>20000</v>
      </c>
      <c r="J83" s="4"/>
      <c r="K83" s="4"/>
      <c r="L83" s="4"/>
      <c r="M83" s="4"/>
    </row>
    <row r="84" spans="1:13" s="48" customFormat="1" ht="12.75">
      <c r="A84" s="47">
        <v>2</v>
      </c>
      <c r="B84" s="39" t="s">
        <v>19</v>
      </c>
      <c r="C84" s="14" t="s">
        <v>51</v>
      </c>
      <c r="D84" s="61">
        <v>25000</v>
      </c>
      <c r="E84" s="61"/>
      <c r="F84" s="4">
        <f>D84+E84</f>
        <v>25000</v>
      </c>
      <c r="G84" s="4"/>
      <c r="H84" s="4">
        <f>F84+G84</f>
        <v>25000</v>
      </c>
      <c r="I84" s="4">
        <v>25000</v>
      </c>
      <c r="J84" s="4"/>
      <c r="K84" s="4"/>
      <c r="L84" s="4"/>
      <c r="M84" s="4"/>
    </row>
    <row r="85" spans="1:13" s="48" customFormat="1" ht="12.75">
      <c r="A85" s="47">
        <v>3</v>
      </c>
      <c r="B85" s="39" t="s">
        <v>19</v>
      </c>
      <c r="C85" s="25" t="s">
        <v>52</v>
      </c>
      <c r="D85" s="61">
        <v>15000</v>
      </c>
      <c r="E85" s="61"/>
      <c r="F85" s="4">
        <f>D85+E85</f>
        <v>15000</v>
      </c>
      <c r="G85" s="4"/>
      <c r="H85" s="4">
        <f>F85+G85</f>
        <v>15000</v>
      </c>
      <c r="I85" s="4">
        <v>15000</v>
      </c>
      <c r="J85" s="4"/>
      <c r="K85" s="4"/>
      <c r="L85" s="4"/>
      <c r="M85" s="4"/>
    </row>
    <row r="86" spans="1:13" s="48" customFormat="1" ht="12.75">
      <c r="A86" s="39">
        <v>4</v>
      </c>
      <c r="B86" s="39" t="s">
        <v>19</v>
      </c>
      <c r="C86" s="3" t="s">
        <v>53</v>
      </c>
      <c r="D86" s="62">
        <v>2000</v>
      </c>
      <c r="E86" s="62"/>
      <c r="F86" s="4">
        <f>D86+E86</f>
        <v>2000</v>
      </c>
      <c r="G86" s="4"/>
      <c r="H86" s="4">
        <f>F86+G86</f>
        <v>2000</v>
      </c>
      <c r="I86" s="4">
        <v>2000</v>
      </c>
      <c r="J86" s="4"/>
      <c r="K86" s="4"/>
      <c r="L86" s="4"/>
      <c r="M86" s="4"/>
    </row>
    <row r="87" spans="1:13" s="48" customFormat="1" ht="12.75">
      <c r="A87" s="47">
        <v>5</v>
      </c>
      <c r="B87" s="39" t="s">
        <v>19</v>
      </c>
      <c r="C87" s="3" t="s">
        <v>257</v>
      </c>
      <c r="D87" s="62"/>
      <c r="E87" s="62"/>
      <c r="F87" s="4">
        <v>18000</v>
      </c>
      <c r="G87" s="4"/>
      <c r="H87" s="4">
        <f>F87+G87</f>
        <v>18000</v>
      </c>
      <c r="I87" s="4">
        <v>18000</v>
      </c>
      <c r="J87" s="4"/>
      <c r="K87" s="4"/>
      <c r="L87" s="4"/>
      <c r="M87" s="4"/>
    </row>
    <row r="88" spans="1:13" s="48" customFormat="1" ht="12.75">
      <c r="A88" s="42"/>
      <c r="B88" s="42">
        <v>67</v>
      </c>
      <c r="C88" s="23" t="s">
        <v>183</v>
      </c>
      <c r="D88" s="24">
        <f>SUM(D89:D91)+D92+D96+D99+D102+D108+D111+D116+D118+D121+D123+D129</f>
        <v>2654000</v>
      </c>
      <c r="E88" s="24">
        <f>SUM(E89:E91)+E92+E96+E99+E102+E108+E111+E116+E118+E121+E123+E129</f>
        <v>-201000</v>
      </c>
      <c r="F88" s="24">
        <f aca="true" t="shared" si="23" ref="F88:M88">SUM(F89:F91)+F92+F96+F99+F102+F108+F111+F116+F118+F121+F123+F129+F132</f>
        <v>2398000</v>
      </c>
      <c r="G88" s="24">
        <f t="shared" si="23"/>
        <v>0</v>
      </c>
      <c r="H88" s="24">
        <f t="shared" si="23"/>
        <v>2398000</v>
      </c>
      <c r="I88" s="24">
        <f t="shared" si="23"/>
        <v>2393000</v>
      </c>
      <c r="J88" s="24">
        <f t="shared" si="23"/>
        <v>0</v>
      </c>
      <c r="K88" s="24">
        <f t="shared" si="23"/>
        <v>0</v>
      </c>
      <c r="L88" s="24">
        <f t="shared" si="23"/>
        <v>0</v>
      </c>
      <c r="M88" s="24">
        <f t="shared" si="23"/>
        <v>5000</v>
      </c>
    </row>
    <row r="89" spans="1:13" s="48" customFormat="1" ht="12.75">
      <c r="A89" s="39">
        <v>1</v>
      </c>
      <c r="B89" s="39" t="s">
        <v>45</v>
      </c>
      <c r="C89" s="14" t="s">
        <v>54</v>
      </c>
      <c r="D89" s="20">
        <v>530000</v>
      </c>
      <c r="E89" s="20"/>
      <c r="F89" s="4">
        <f>D89+E89</f>
        <v>530000</v>
      </c>
      <c r="G89" s="4">
        <v>31500</v>
      </c>
      <c r="H89" s="4">
        <f>F89+G89</f>
        <v>561500</v>
      </c>
      <c r="I89" s="4">
        <f>530000+31500</f>
        <v>561500</v>
      </c>
      <c r="J89" s="4"/>
      <c r="K89" s="4"/>
      <c r="L89" s="4"/>
      <c r="M89" s="4"/>
    </row>
    <row r="90" spans="1:13" s="48" customFormat="1" ht="12.75">
      <c r="A90" s="39">
        <v>2</v>
      </c>
      <c r="B90" s="39" t="s">
        <v>190</v>
      </c>
      <c r="C90" s="14" t="s">
        <v>55</v>
      </c>
      <c r="D90" s="8">
        <v>491000</v>
      </c>
      <c r="E90" s="8">
        <v>-37000</v>
      </c>
      <c r="F90" s="4">
        <f>D90+E90</f>
        <v>454000</v>
      </c>
      <c r="G90" s="4">
        <v>-101000</v>
      </c>
      <c r="H90" s="4">
        <f>F90+G90</f>
        <v>353000</v>
      </c>
      <c r="I90" s="4">
        <f>454000-101000</f>
        <v>353000</v>
      </c>
      <c r="J90" s="4"/>
      <c r="K90" s="4"/>
      <c r="L90" s="4"/>
      <c r="M90" s="4"/>
    </row>
    <row r="91" spans="1:13" s="48" customFormat="1" ht="12.75">
      <c r="A91" s="63">
        <v>3</v>
      </c>
      <c r="B91" s="63" t="s">
        <v>45</v>
      </c>
      <c r="C91" s="64" t="s">
        <v>56</v>
      </c>
      <c r="D91" s="59">
        <v>690000</v>
      </c>
      <c r="E91" s="59"/>
      <c r="F91" s="4">
        <f>D91+E91</f>
        <v>690000</v>
      </c>
      <c r="G91" s="4">
        <v>69500</v>
      </c>
      <c r="H91" s="4">
        <f>F91+G91</f>
        <v>759500</v>
      </c>
      <c r="I91" s="4">
        <f>690000+69500</f>
        <v>759500</v>
      </c>
      <c r="J91" s="4"/>
      <c r="K91" s="4"/>
      <c r="L91" s="4"/>
      <c r="M91" s="4"/>
    </row>
    <row r="92" spans="1:13" s="48" customFormat="1" ht="12.75">
      <c r="A92" s="43"/>
      <c r="B92" s="43"/>
      <c r="C92" s="9" t="s">
        <v>57</v>
      </c>
      <c r="D92" s="6">
        <f aca="true" t="shared" si="24" ref="D92:M92">SUM(D93:D95)</f>
        <v>15000</v>
      </c>
      <c r="E92" s="6">
        <f t="shared" si="24"/>
        <v>0</v>
      </c>
      <c r="F92" s="6">
        <f t="shared" si="24"/>
        <v>15000</v>
      </c>
      <c r="G92" s="6">
        <f t="shared" si="24"/>
        <v>0</v>
      </c>
      <c r="H92" s="6">
        <f t="shared" si="24"/>
        <v>15000</v>
      </c>
      <c r="I92" s="6">
        <f t="shared" si="24"/>
        <v>15000</v>
      </c>
      <c r="J92" s="6">
        <f t="shared" si="24"/>
        <v>0</v>
      </c>
      <c r="K92" s="6">
        <f t="shared" si="24"/>
        <v>0</v>
      </c>
      <c r="L92" s="6">
        <f t="shared" si="24"/>
        <v>0</v>
      </c>
      <c r="M92" s="6">
        <f t="shared" si="24"/>
        <v>0</v>
      </c>
    </row>
    <row r="93" spans="1:13" s="48" customFormat="1" ht="12.75">
      <c r="A93" s="43">
        <v>4</v>
      </c>
      <c r="B93" s="39" t="s">
        <v>19</v>
      </c>
      <c r="C93" s="14" t="s">
        <v>58</v>
      </c>
      <c r="D93" s="8">
        <v>7000</v>
      </c>
      <c r="E93" s="8"/>
      <c r="F93" s="4">
        <f>D93+E93</f>
        <v>7000</v>
      </c>
      <c r="G93" s="4">
        <v>-1100</v>
      </c>
      <c r="H93" s="4">
        <f>F93+G93</f>
        <v>5900</v>
      </c>
      <c r="I93" s="4">
        <f>7000-1100</f>
        <v>5900</v>
      </c>
      <c r="J93" s="4"/>
      <c r="K93" s="4"/>
      <c r="L93" s="4"/>
      <c r="M93" s="4"/>
    </row>
    <row r="94" spans="1:13" s="48" customFormat="1" ht="12.75">
      <c r="A94" s="43">
        <v>5</v>
      </c>
      <c r="B94" s="39" t="s">
        <v>19</v>
      </c>
      <c r="C94" s="14" t="s">
        <v>59</v>
      </c>
      <c r="D94" s="8">
        <v>3000</v>
      </c>
      <c r="E94" s="8"/>
      <c r="F94" s="4">
        <f>D94+E94</f>
        <v>3000</v>
      </c>
      <c r="G94" s="4">
        <v>-3000</v>
      </c>
      <c r="H94" s="4">
        <f>F94+G94</f>
        <v>0</v>
      </c>
      <c r="I94" s="4">
        <f>3000-3000</f>
        <v>0</v>
      </c>
      <c r="J94" s="4"/>
      <c r="K94" s="4"/>
      <c r="L94" s="4"/>
      <c r="M94" s="4"/>
    </row>
    <row r="95" spans="1:13" s="48" customFormat="1" ht="12.75">
      <c r="A95" s="43">
        <v>6</v>
      </c>
      <c r="B95" s="39" t="s">
        <v>19</v>
      </c>
      <c r="C95" s="14" t="s">
        <v>60</v>
      </c>
      <c r="D95" s="8">
        <v>5000</v>
      </c>
      <c r="E95" s="8"/>
      <c r="F95" s="4">
        <f>D95+E95</f>
        <v>5000</v>
      </c>
      <c r="G95" s="4">
        <v>4100</v>
      </c>
      <c r="H95" s="4">
        <f>F95+G95</f>
        <v>9100</v>
      </c>
      <c r="I95" s="4">
        <f>5000+4100</f>
        <v>9100</v>
      </c>
      <c r="J95" s="4"/>
      <c r="K95" s="4"/>
      <c r="L95" s="4"/>
      <c r="M95" s="4"/>
    </row>
    <row r="96" spans="1:13" s="48" customFormat="1" ht="12.75">
      <c r="A96" s="43"/>
      <c r="B96" s="43"/>
      <c r="C96" s="26" t="s">
        <v>61</v>
      </c>
      <c r="D96" s="6">
        <f>SUM(D97:D97)</f>
        <v>28000</v>
      </c>
      <c r="E96" s="6">
        <f>SUM(E97:E97)</f>
        <v>15000</v>
      </c>
      <c r="F96" s="6">
        <f>SUM(F97:F98)</f>
        <v>43000</v>
      </c>
      <c r="G96" s="6">
        <f aca="true" t="shared" si="25" ref="G96:M96">SUM(G97:G98)</f>
        <v>9000</v>
      </c>
      <c r="H96" s="6">
        <f t="shared" si="25"/>
        <v>52000</v>
      </c>
      <c r="I96" s="6">
        <f t="shared" si="25"/>
        <v>52000</v>
      </c>
      <c r="J96" s="6">
        <f t="shared" si="25"/>
        <v>0</v>
      </c>
      <c r="K96" s="6">
        <f t="shared" si="25"/>
        <v>0</v>
      </c>
      <c r="L96" s="6">
        <f t="shared" si="25"/>
        <v>0</v>
      </c>
      <c r="M96" s="6">
        <f t="shared" si="25"/>
        <v>0</v>
      </c>
    </row>
    <row r="97" spans="1:13" s="48" customFormat="1" ht="12.75">
      <c r="A97" s="43">
        <v>7</v>
      </c>
      <c r="B97" s="39" t="s">
        <v>19</v>
      </c>
      <c r="C97" s="14" t="s">
        <v>62</v>
      </c>
      <c r="D97" s="8">
        <v>28000</v>
      </c>
      <c r="E97" s="8">
        <v>15000</v>
      </c>
      <c r="F97" s="4">
        <f>D97+E97</f>
        <v>43000</v>
      </c>
      <c r="G97" s="4"/>
      <c r="H97" s="4">
        <f>F97+G97</f>
        <v>43000</v>
      </c>
      <c r="I97" s="4">
        <v>43000</v>
      </c>
      <c r="J97" s="4"/>
      <c r="K97" s="4"/>
      <c r="L97" s="4"/>
      <c r="M97" s="4"/>
    </row>
    <row r="98" spans="1:13" s="48" customFormat="1" ht="12.75">
      <c r="A98" s="43">
        <v>8</v>
      </c>
      <c r="B98" s="39" t="s">
        <v>19</v>
      </c>
      <c r="C98" s="14" t="s">
        <v>266</v>
      </c>
      <c r="D98" s="8"/>
      <c r="E98" s="8"/>
      <c r="F98" s="4"/>
      <c r="G98" s="4">
        <v>9000</v>
      </c>
      <c r="H98" s="4">
        <f>F98+G98</f>
        <v>9000</v>
      </c>
      <c r="I98" s="4">
        <v>9000</v>
      </c>
      <c r="J98" s="4"/>
      <c r="K98" s="4"/>
      <c r="L98" s="4"/>
      <c r="M98" s="4"/>
    </row>
    <row r="99" spans="1:13" s="48" customFormat="1" ht="12.75">
      <c r="A99" s="43"/>
      <c r="B99" s="43"/>
      <c r="C99" s="26" t="s">
        <v>63</v>
      </c>
      <c r="D99" s="6">
        <f aca="true" t="shared" si="26" ref="D99:M99">SUM(D100:D101)</f>
        <v>25000</v>
      </c>
      <c r="E99" s="6">
        <f t="shared" si="26"/>
        <v>0</v>
      </c>
      <c r="F99" s="6">
        <f t="shared" si="26"/>
        <v>25000</v>
      </c>
      <c r="G99" s="6">
        <f t="shared" si="26"/>
        <v>-5000</v>
      </c>
      <c r="H99" s="6">
        <f t="shared" si="26"/>
        <v>20000</v>
      </c>
      <c r="I99" s="6">
        <f t="shared" si="26"/>
        <v>20000</v>
      </c>
      <c r="J99" s="6">
        <f t="shared" si="26"/>
        <v>0</v>
      </c>
      <c r="K99" s="6">
        <f t="shared" si="26"/>
        <v>0</v>
      </c>
      <c r="L99" s="6">
        <f t="shared" si="26"/>
        <v>0</v>
      </c>
      <c r="M99" s="6">
        <f t="shared" si="26"/>
        <v>0</v>
      </c>
    </row>
    <row r="100" spans="1:13" s="48" customFormat="1" ht="12.75">
      <c r="A100" s="43">
        <v>9</v>
      </c>
      <c r="B100" s="39" t="s">
        <v>19</v>
      </c>
      <c r="C100" s="14" t="s">
        <v>64</v>
      </c>
      <c r="D100" s="8">
        <v>5000</v>
      </c>
      <c r="E100" s="8"/>
      <c r="F100" s="4">
        <f>D100+E100</f>
        <v>5000</v>
      </c>
      <c r="G100" s="4">
        <v>-5000</v>
      </c>
      <c r="H100" s="4">
        <f>F100+G100</f>
        <v>0</v>
      </c>
      <c r="I100" s="4">
        <f>5000-5000</f>
        <v>0</v>
      </c>
      <c r="J100" s="4"/>
      <c r="K100" s="4"/>
      <c r="L100" s="4"/>
      <c r="M100" s="4"/>
    </row>
    <row r="101" spans="1:13" s="48" customFormat="1" ht="12.75">
      <c r="A101" s="43">
        <v>10</v>
      </c>
      <c r="B101" s="39" t="s">
        <v>19</v>
      </c>
      <c r="C101" s="14" t="s">
        <v>62</v>
      </c>
      <c r="D101" s="8">
        <v>20000</v>
      </c>
      <c r="E101" s="8"/>
      <c r="F101" s="4">
        <f>D101+E101</f>
        <v>20000</v>
      </c>
      <c r="G101" s="4"/>
      <c r="H101" s="4">
        <f>F101+G101</f>
        <v>20000</v>
      </c>
      <c r="I101" s="4">
        <v>20000</v>
      </c>
      <c r="J101" s="4"/>
      <c r="K101" s="4"/>
      <c r="L101" s="4"/>
      <c r="M101" s="4"/>
    </row>
    <row r="102" spans="1:13" s="48" customFormat="1" ht="12.75">
      <c r="A102" s="43"/>
      <c r="B102" s="43"/>
      <c r="C102" s="26" t="s">
        <v>65</v>
      </c>
      <c r="D102" s="6">
        <f>SUM(D103:D106)</f>
        <v>24000</v>
      </c>
      <c r="E102" s="6">
        <f>SUM(E103:E106)</f>
        <v>-3100</v>
      </c>
      <c r="F102" s="6">
        <f aca="true" t="shared" si="27" ref="F102:M102">SUM(F103:F107)</f>
        <v>27200</v>
      </c>
      <c r="G102" s="6">
        <f t="shared" si="27"/>
        <v>1000</v>
      </c>
      <c r="H102" s="6">
        <f t="shared" si="27"/>
        <v>28200</v>
      </c>
      <c r="I102" s="6">
        <f t="shared" si="27"/>
        <v>23200</v>
      </c>
      <c r="J102" s="6">
        <f t="shared" si="27"/>
        <v>0</v>
      </c>
      <c r="K102" s="6">
        <f t="shared" si="27"/>
        <v>0</v>
      </c>
      <c r="L102" s="6">
        <f t="shared" si="27"/>
        <v>0</v>
      </c>
      <c r="M102" s="6">
        <f t="shared" si="27"/>
        <v>5000</v>
      </c>
    </row>
    <row r="103" spans="1:13" s="48" customFormat="1" ht="12.75">
      <c r="A103" s="43">
        <v>11</v>
      </c>
      <c r="B103" s="39" t="s">
        <v>19</v>
      </c>
      <c r="C103" s="14" t="s">
        <v>66</v>
      </c>
      <c r="D103" s="8">
        <v>4000</v>
      </c>
      <c r="E103" s="8"/>
      <c r="F103" s="4">
        <f>D103+E103</f>
        <v>4000</v>
      </c>
      <c r="G103" s="4"/>
      <c r="H103" s="4">
        <f>F103+G103</f>
        <v>4000</v>
      </c>
      <c r="I103" s="4">
        <v>4000</v>
      </c>
      <c r="J103" s="4"/>
      <c r="K103" s="4"/>
      <c r="L103" s="4"/>
      <c r="M103" s="4"/>
    </row>
    <row r="104" spans="1:13" s="48" customFormat="1" ht="12.75">
      <c r="A104" s="43">
        <v>12</v>
      </c>
      <c r="B104" s="39" t="s">
        <v>19</v>
      </c>
      <c r="C104" s="14" t="s">
        <v>67</v>
      </c>
      <c r="D104" s="8">
        <v>8000</v>
      </c>
      <c r="E104" s="8">
        <v>-3100</v>
      </c>
      <c r="F104" s="4">
        <v>6200</v>
      </c>
      <c r="G104" s="4"/>
      <c r="H104" s="4">
        <f>F104+G104</f>
        <v>6200</v>
      </c>
      <c r="I104" s="4">
        <v>6200</v>
      </c>
      <c r="J104" s="4"/>
      <c r="K104" s="4"/>
      <c r="L104" s="4"/>
      <c r="M104" s="4"/>
    </row>
    <row r="105" spans="1:13" s="48" customFormat="1" ht="12.75">
      <c r="A105" s="43">
        <v>13</v>
      </c>
      <c r="B105" s="39" t="s">
        <v>19</v>
      </c>
      <c r="C105" s="14" t="s">
        <v>53</v>
      </c>
      <c r="D105" s="8">
        <v>2000</v>
      </c>
      <c r="E105" s="8"/>
      <c r="F105" s="4">
        <f>D105+E105</f>
        <v>2000</v>
      </c>
      <c r="G105" s="4"/>
      <c r="H105" s="4">
        <f>F105+G105</f>
        <v>2000</v>
      </c>
      <c r="I105" s="4">
        <v>2000</v>
      </c>
      <c r="J105" s="4"/>
      <c r="K105" s="4"/>
      <c r="L105" s="4"/>
      <c r="M105" s="4"/>
    </row>
    <row r="106" spans="1:13" s="48" customFormat="1" ht="12.75">
      <c r="A106" s="43">
        <v>14</v>
      </c>
      <c r="B106" s="39" t="s">
        <v>19</v>
      </c>
      <c r="C106" s="14" t="s">
        <v>62</v>
      </c>
      <c r="D106" s="8">
        <v>10000</v>
      </c>
      <c r="E106" s="8"/>
      <c r="F106" s="4">
        <f>D106+E106</f>
        <v>10000</v>
      </c>
      <c r="G106" s="4">
        <v>1000</v>
      </c>
      <c r="H106" s="4">
        <f>F106+G106</f>
        <v>11000</v>
      </c>
      <c r="I106" s="4">
        <f>10000+1000</f>
        <v>11000</v>
      </c>
      <c r="J106" s="4"/>
      <c r="K106" s="4"/>
      <c r="L106" s="4"/>
      <c r="M106" s="4"/>
    </row>
    <row r="107" spans="1:13" s="48" customFormat="1" ht="12.75">
      <c r="A107" s="43">
        <v>15</v>
      </c>
      <c r="B107" s="47" t="s">
        <v>19</v>
      </c>
      <c r="C107" s="25" t="s">
        <v>228</v>
      </c>
      <c r="D107" s="8"/>
      <c r="E107" s="8"/>
      <c r="F107" s="4">
        <v>5000</v>
      </c>
      <c r="G107" s="4"/>
      <c r="H107" s="4">
        <f>F107+G107</f>
        <v>5000</v>
      </c>
      <c r="I107" s="4"/>
      <c r="J107" s="4"/>
      <c r="K107" s="4"/>
      <c r="L107" s="4"/>
      <c r="M107" s="4">
        <v>5000</v>
      </c>
    </row>
    <row r="108" spans="1:13" s="48" customFormat="1" ht="12.75">
      <c r="A108" s="43"/>
      <c r="B108" s="43"/>
      <c r="C108" s="26" t="s">
        <v>68</v>
      </c>
      <c r="D108" s="6">
        <f>SUM(D109:D109)</f>
        <v>10000</v>
      </c>
      <c r="E108" s="6">
        <f>SUM(E109:E109)</f>
        <v>22000</v>
      </c>
      <c r="F108" s="6">
        <f>SUM(F109:F110)</f>
        <v>32000</v>
      </c>
      <c r="G108" s="6">
        <f aca="true" t="shared" si="28" ref="G108:M108">SUM(G109:G110)</f>
        <v>9000</v>
      </c>
      <c r="H108" s="6">
        <f t="shared" si="28"/>
        <v>41000</v>
      </c>
      <c r="I108" s="6">
        <f t="shared" si="28"/>
        <v>41000</v>
      </c>
      <c r="J108" s="6">
        <f t="shared" si="28"/>
        <v>0</v>
      </c>
      <c r="K108" s="6">
        <f t="shared" si="28"/>
        <v>0</v>
      </c>
      <c r="L108" s="6">
        <f t="shared" si="28"/>
        <v>0</v>
      </c>
      <c r="M108" s="6">
        <f t="shared" si="28"/>
        <v>0</v>
      </c>
    </row>
    <row r="109" spans="1:13" s="48" customFormat="1" ht="12.75">
      <c r="A109" s="43">
        <v>16</v>
      </c>
      <c r="B109" s="39" t="s">
        <v>19</v>
      </c>
      <c r="C109" s="14" t="s">
        <v>62</v>
      </c>
      <c r="D109" s="8">
        <v>10000</v>
      </c>
      <c r="E109" s="8">
        <v>22000</v>
      </c>
      <c r="F109" s="4">
        <f>D109+E109</f>
        <v>32000</v>
      </c>
      <c r="G109" s="4"/>
      <c r="H109" s="4">
        <f>F109+G109</f>
        <v>32000</v>
      </c>
      <c r="I109" s="4">
        <v>32000</v>
      </c>
      <c r="J109" s="4"/>
      <c r="K109" s="4"/>
      <c r="L109" s="4"/>
      <c r="M109" s="4"/>
    </row>
    <row r="110" spans="1:13" s="48" customFormat="1" ht="12.75">
      <c r="A110" s="43">
        <v>17</v>
      </c>
      <c r="B110" s="39" t="s">
        <v>19</v>
      </c>
      <c r="C110" s="14" t="s">
        <v>267</v>
      </c>
      <c r="D110" s="8"/>
      <c r="E110" s="8"/>
      <c r="F110" s="4"/>
      <c r="G110" s="4">
        <v>9000</v>
      </c>
      <c r="H110" s="4">
        <f>F110+G110</f>
        <v>9000</v>
      </c>
      <c r="I110" s="4">
        <v>9000</v>
      </c>
      <c r="J110" s="4"/>
      <c r="K110" s="4"/>
      <c r="L110" s="4"/>
      <c r="M110" s="4"/>
    </row>
    <row r="111" spans="1:13" s="48" customFormat="1" ht="12.75">
      <c r="A111" s="43"/>
      <c r="B111" s="43"/>
      <c r="C111" s="26" t="s">
        <v>69</v>
      </c>
      <c r="D111" s="6">
        <f aca="true" t="shared" si="29" ref="D111:M111">SUM(D112:D115)</f>
        <v>50000</v>
      </c>
      <c r="E111" s="6">
        <f t="shared" si="29"/>
        <v>3100</v>
      </c>
      <c r="F111" s="6">
        <f t="shared" si="29"/>
        <v>51800</v>
      </c>
      <c r="G111" s="6">
        <f t="shared" si="29"/>
        <v>-20000</v>
      </c>
      <c r="H111" s="6">
        <f t="shared" si="29"/>
        <v>31800</v>
      </c>
      <c r="I111" s="6">
        <f t="shared" si="29"/>
        <v>31800</v>
      </c>
      <c r="J111" s="6">
        <f t="shared" si="29"/>
        <v>0</v>
      </c>
      <c r="K111" s="6">
        <f t="shared" si="29"/>
        <v>0</v>
      </c>
      <c r="L111" s="6">
        <f t="shared" si="29"/>
        <v>0</v>
      </c>
      <c r="M111" s="6">
        <f t="shared" si="29"/>
        <v>0</v>
      </c>
    </row>
    <row r="112" spans="1:13" s="48" customFormat="1" ht="12.75">
      <c r="A112" s="43">
        <v>18</v>
      </c>
      <c r="B112" s="39" t="s">
        <v>19</v>
      </c>
      <c r="C112" s="14" t="s">
        <v>70</v>
      </c>
      <c r="D112" s="8">
        <v>20000</v>
      </c>
      <c r="E112" s="8">
        <v>-3100</v>
      </c>
      <c r="F112" s="4">
        <f>D112+E112</f>
        <v>16900</v>
      </c>
      <c r="G112" s="4"/>
      <c r="H112" s="4">
        <f>F112+G112</f>
        <v>16900</v>
      </c>
      <c r="I112" s="4">
        <v>16900</v>
      </c>
      <c r="J112" s="4"/>
      <c r="K112" s="4"/>
      <c r="L112" s="4"/>
      <c r="M112" s="4"/>
    </row>
    <row r="113" spans="1:13" s="48" customFormat="1" ht="12.75">
      <c r="A113" s="43">
        <v>19</v>
      </c>
      <c r="B113" s="39" t="s">
        <v>19</v>
      </c>
      <c r="C113" s="14" t="s">
        <v>71</v>
      </c>
      <c r="D113" s="8">
        <v>20000</v>
      </c>
      <c r="E113" s="8"/>
      <c r="F113" s="4">
        <f>D113+E113</f>
        <v>20000</v>
      </c>
      <c r="G113" s="4">
        <v>-20000</v>
      </c>
      <c r="H113" s="4">
        <f>F113+G113</f>
        <v>0</v>
      </c>
      <c r="I113" s="4">
        <f>20000-20000</f>
        <v>0</v>
      </c>
      <c r="J113" s="4"/>
      <c r="K113" s="4"/>
      <c r="L113" s="4"/>
      <c r="M113" s="4"/>
    </row>
    <row r="114" spans="1:13" s="48" customFormat="1" ht="12.75">
      <c r="A114" s="43">
        <v>20</v>
      </c>
      <c r="B114" s="39" t="s">
        <v>19</v>
      </c>
      <c r="C114" s="14" t="s">
        <v>62</v>
      </c>
      <c r="D114" s="8">
        <v>10000</v>
      </c>
      <c r="E114" s="8"/>
      <c r="F114" s="4">
        <f>D114+E114</f>
        <v>10000</v>
      </c>
      <c r="G114" s="4"/>
      <c r="H114" s="4">
        <f>F114+G114</f>
        <v>10000</v>
      </c>
      <c r="I114" s="4">
        <v>10000</v>
      </c>
      <c r="J114" s="4"/>
      <c r="K114" s="4"/>
      <c r="L114" s="4"/>
      <c r="M114" s="4"/>
    </row>
    <row r="115" spans="1:13" s="48" customFormat="1" ht="12.75">
      <c r="A115" s="43">
        <v>21</v>
      </c>
      <c r="B115" s="39" t="s">
        <v>19</v>
      </c>
      <c r="C115" s="14" t="s">
        <v>204</v>
      </c>
      <c r="D115" s="8"/>
      <c r="E115" s="8">
        <v>6200</v>
      </c>
      <c r="F115" s="4">
        <v>4900</v>
      </c>
      <c r="G115" s="4"/>
      <c r="H115" s="4">
        <f>F115+G115</f>
        <v>4900</v>
      </c>
      <c r="I115" s="4">
        <v>4900</v>
      </c>
      <c r="J115" s="4"/>
      <c r="K115" s="4"/>
      <c r="L115" s="4"/>
      <c r="M115" s="4"/>
    </row>
    <row r="116" spans="1:13" s="48" customFormat="1" ht="12.75">
      <c r="A116" s="43"/>
      <c r="B116" s="43"/>
      <c r="C116" s="26" t="s">
        <v>72</v>
      </c>
      <c r="D116" s="6">
        <f aca="true" t="shared" si="30" ref="D116:M116">SUM(D117:D117)</f>
        <v>70000</v>
      </c>
      <c r="E116" s="6">
        <f t="shared" si="30"/>
        <v>0</v>
      </c>
      <c r="F116" s="6">
        <f t="shared" si="30"/>
        <v>70000</v>
      </c>
      <c r="G116" s="6">
        <f t="shared" si="30"/>
        <v>0</v>
      </c>
      <c r="H116" s="6">
        <f t="shared" si="30"/>
        <v>70000</v>
      </c>
      <c r="I116" s="6">
        <f t="shared" si="30"/>
        <v>70000</v>
      </c>
      <c r="J116" s="6">
        <f t="shared" si="30"/>
        <v>0</v>
      </c>
      <c r="K116" s="6">
        <f t="shared" si="30"/>
        <v>0</v>
      </c>
      <c r="L116" s="6">
        <f t="shared" si="30"/>
        <v>0</v>
      </c>
      <c r="M116" s="6">
        <f t="shared" si="30"/>
        <v>0</v>
      </c>
    </row>
    <row r="117" spans="1:13" s="48" customFormat="1" ht="12.75">
      <c r="A117" s="43">
        <v>22</v>
      </c>
      <c r="B117" s="43" t="s">
        <v>19</v>
      </c>
      <c r="C117" s="14" t="s">
        <v>73</v>
      </c>
      <c r="D117" s="8">
        <v>70000</v>
      </c>
      <c r="E117" s="8"/>
      <c r="F117" s="4">
        <f>D117+E117</f>
        <v>70000</v>
      </c>
      <c r="G117" s="4"/>
      <c r="H117" s="4">
        <f>F117+G117</f>
        <v>70000</v>
      </c>
      <c r="I117" s="4">
        <v>70000</v>
      </c>
      <c r="J117" s="4"/>
      <c r="K117" s="4"/>
      <c r="L117" s="4"/>
      <c r="M117" s="4"/>
    </row>
    <row r="118" spans="1:13" s="48" customFormat="1" ht="12.75">
      <c r="A118" s="43"/>
      <c r="B118" s="43"/>
      <c r="C118" s="26" t="s">
        <v>74</v>
      </c>
      <c r="D118" s="6">
        <f aca="true" t="shared" si="31" ref="D118:M118">SUM(D119:D120)</f>
        <v>18000</v>
      </c>
      <c r="E118" s="6">
        <f t="shared" si="31"/>
        <v>0</v>
      </c>
      <c r="F118" s="6">
        <f t="shared" si="31"/>
        <v>18000</v>
      </c>
      <c r="G118" s="6">
        <f t="shared" si="31"/>
        <v>-3600</v>
      </c>
      <c r="H118" s="6">
        <f t="shared" si="31"/>
        <v>14400</v>
      </c>
      <c r="I118" s="6">
        <f t="shared" si="31"/>
        <v>14400</v>
      </c>
      <c r="J118" s="6">
        <f t="shared" si="31"/>
        <v>0</v>
      </c>
      <c r="K118" s="6">
        <f t="shared" si="31"/>
        <v>0</v>
      </c>
      <c r="L118" s="6">
        <f t="shared" si="31"/>
        <v>0</v>
      </c>
      <c r="M118" s="6">
        <f t="shared" si="31"/>
        <v>0</v>
      </c>
    </row>
    <row r="119" spans="1:13" s="48" customFormat="1" ht="12.75">
      <c r="A119" s="43">
        <v>23</v>
      </c>
      <c r="B119" s="39" t="s">
        <v>19</v>
      </c>
      <c r="C119" s="14" t="s">
        <v>75</v>
      </c>
      <c r="D119" s="8">
        <v>8000</v>
      </c>
      <c r="E119" s="8"/>
      <c r="F119" s="4">
        <f>D119+E119</f>
        <v>8000</v>
      </c>
      <c r="G119" s="4">
        <v>-300</v>
      </c>
      <c r="H119" s="4">
        <f>F119+G119</f>
        <v>7700</v>
      </c>
      <c r="I119" s="4">
        <f>8000-300</f>
        <v>7700</v>
      </c>
      <c r="J119" s="4"/>
      <c r="K119" s="4"/>
      <c r="L119" s="4"/>
      <c r="M119" s="4"/>
    </row>
    <row r="120" spans="1:13" s="48" customFormat="1" ht="12.75">
      <c r="A120" s="43">
        <v>24</v>
      </c>
      <c r="B120" s="39" t="s">
        <v>19</v>
      </c>
      <c r="C120" s="14" t="s">
        <v>76</v>
      </c>
      <c r="D120" s="8">
        <v>10000</v>
      </c>
      <c r="E120" s="8"/>
      <c r="F120" s="4">
        <f>D120+E120</f>
        <v>10000</v>
      </c>
      <c r="G120" s="4">
        <v>-3300</v>
      </c>
      <c r="H120" s="4">
        <f>F120+G120</f>
        <v>6700</v>
      </c>
      <c r="I120" s="4">
        <f>10000-3300</f>
        <v>6700</v>
      </c>
      <c r="J120" s="4"/>
      <c r="K120" s="4"/>
      <c r="L120" s="4"/>
      <c r="M120" s="4"/>
    </row>
    <row r="121" spans="1:13" s="48" customFormat="1" ht="12.75">
      <c r="A121" s="43"/>
      <c r="B121" s="39"/>
      <c r="C121" s="26" t="s">
        <v>205</v>
      </c>
      <c r="D121" s="6">
        <f aca="true" t="shared" si="32" ref="D121:M121">D122</f>
        <v>50000</v>
      </c>
      <c r="E121" s="6">
        <f t="shared" si="32"/>
        <v>0</v>
      </c>
      <c r="F121" s="6">
        <f t="shared" si="32"/>
        <v>153000</v>
      </c>
      <c r="G121" s="6">
        <f t="shared" si="32"/>
        <v>-2400</v>
      </c>
      <c r="H121" s="6">
        <f t="shared" si="32"/>
        <v>150600</v>
      </c>
      <c r="I121" s="6">
        <f t="shared" si="32"/>
        <v>150600</v>
      </c>
      <c r="J121" s="6">
        <f t="shared" si="32"/>
        <v>0</v>
      </c>
      <c r="K121" s="6">
        <f t="shared" si="32"/>
        <v>0</v>
      </c>
      <c r="L121" s="6">
        <f t="shared" si="32"/>
        <v>0</v>
      </c>
      <c r="M121" s="6">
        <f t="shared" si="32"/>
        <v>0</v>
      </c>
    </row>
    <row r="122" spans="1:13" s="48" customFormat="1" ht="12.75">
      <c r="A122" s="43">
        <v>25</v>
      </c>
      <c r="B122" s="39" t="s">
        <v>19</v>
      </c>
      <c r="C122" s="7" t="s">
        <v>77</v>
      </c>
      <c r="D122" s="8">
        <v>50000</v>
      </c>
      <c r="E122" s="8"/>
      <c r="F122" s="4">
        <v>153000</v>
      </c>
      <c r="G122" s="4">
        <v>-2400</v>
      </c>
      <c r="H122" s="4">
        <f>F122+G122</f>
        <v>150600</v>
      </c>
      <c r="I122" s="4">
        <f>50000+103000-2400</f>
        <v>150600</v>
      </c>
      <c r="J122" s="4"/>
      <c r="K122" s="4"/>
      <c r="L122" s="4"/>
      <c r="M122" s="4"/>
    </row>
    <row r="123" spans="1:13" s="48" customFormat="1" ht="12.75">
      <c r="A123" s="43"/>
      <c r="B123" s="43"/>
      <c r="C123" s="26" t="s">
        <v>78</v>
      </c>
      <c r="D123" s="6">
        <f>SUM(D124:D127)</f>
        <v>520000</v>
      </c>
      <c r="E123" s="6">
        <f>SUM(E124:E127)</f>
        <v>-201000</v>
      </c>
      <c r="F123" s="6">
        <f>SUM(F124:F128)</f>
        <v>79000</v>
      </c>
      <c r="G123" s="6">
        <f aca="true" t="shared" si="33" ref="G123:M123">SUM(G124:G128)</f>
        <v>12000</v>
      </c>
      <c r="H123" s="6">
        <f t="shared" si="33"/>
        <v>91000</v>
      </c>
      <c r="I123" s="6">
        <f t="shared" si="33"/>
        <v>91000</v>
      </c>
      <c r="J123" s="6">
        <f t="shared" si="33"/>
        <v>0</v>
      </c>
      <c r="K123" s="6">
        <f t="shared" si="33"/>
        <v>0</v>
      </c>
      <c r="L123" s="6">
        <f t="shared" si="33"/>
        <v>0</v>
      </c>
      <c r="M123" s="6">
        <f t="shared" si="33"/>
        <v>0</v>
      </c>
    </row>
    <row r="124" spans="1:13" s="48" customFormat="1" ht="12.75">
      <c r="A124" s="43">
        <v>26</v>
      </c>
      <c r="B124" s="39" t="s">
        <v>19</v>
      </c>
      <c r="C124" s="14" t="s">
        <v>79</v>
      </c>
      <c r="D124" s="8">
        <v>100000</v>
      </c>
      <c r="E124" s="8">
        <v>-41000</v>
      </c>
      <c r="F124" s="4">
        <f>D124+E124</f>
        <v>59000</v>
      </c>
      <c r="G124" s="4"/>
      <c r="H124" s="4">
        <f>F124+G124</f>
        <v>59000</v>
      </c>
      <c r="I124" s="4">
        <v>59000</v>
      </c>
      <c r="J124" s="4"/>
      <c r="K124" s="4"/>
      <c r="L124" s="4"/>
      <c r="M124" s="4"/>
    </row>
    <row r="125" spans="1:13" s="48" customFormat="1" ht="12.75">
      <c r="A125" s="43">
        <v>27</v>
      </c>
      <c r="B125" s="39" t="s">
        <v>19</v>
      </c>
      <c r="C125" s="14" t="s">
        <v>80</v>
      </c>
      <c r="D125" s="8">
        <v>20000</v>
      </c>
      <c r="E125" s="8"/>
      <c r="F125" s="4">
        <f>D125+E125</f>
        <v>20000</v>
      </c>
      <c r="G125" s="4"/>
      <c r="H125" s="4">
        <f>F125+G125</f>
        <v>20000</v>
      </c>
      <c r="I125" s="4">
        <v>20000</v>
      </c>
      <c r="J125" s="4"/>
      <c r="K125" s="4"/>
      <c r="L125" s="4"/>
      <c r="M125" s="4"/>
    </row>
    <row r="126" spans="1:13" s="48" customFormat="1" ht="12.75">
      <c r="A126" s="43">
        <v>28</v>
      </c>
      <c r="B126" s="39" t="s">
        <v>19</v>
      </c>
      <c r="C126" s="14" t="s">
        <v>81</v>
      </c>
      <c r="D126" s="8">
        <v>100000</v>
      </c>
      <c r="E126" s="8">
        <v>-100000</v>
      </c>
      <c r="F126" s="4">
        <f>D126+E126</f>
        <v>0</v>
      </c>
      <c r="G126" s="4"/>
      <c r="H126" s="4">
        <f>F126+G126</f>
        <v>0</v>
      </c>
      <c r="I126" s="4">
        <v>0</v>
      </c>
      <c r="J126" s="4"/>
      <c r="K126" s="4"/>
      <c r="L126" s="4"/>
      <c r="M126" s="4"/>
    </row>
    <row r="127" spans="1:13" s="48" customFormat="1" ht="12.75">
      <c r="A127" s="43">
        <v>29</v>
      </c>
      <c r="B127" s="39" t="s">
        <v>19</v>
      </c>
      <c r="C127" s="14" t="s">
        <v>82</v>
      </c>
      <c r="D127" s="8">
        <v>300000</v>
      </c>
      <c r="E127" s="8">
        <v>-60000</v>
      </c>
      <c r="F127" s="4">
        <v>0</v>
      </c>
      <c r="G127" s="4"/>
      <c r="H127" s="4">
        <f>F127+G127</f>
        <v>0</v>
      </c>
      <c r="I127" s="4">
        <f>240000-240000</f>
        <v>0</v>
      </c>
      <c r="J127" s="4"/>
      <c r="K127" s="4"/>
      <c r="L127" s="4"/>
      <c r="M127" s="4"/>
    </row>
    <row r="128" spans="1:13" s="48" customFormat="1" ht="12.75">
      <c r="A128" s="43">
        <v>30</v>
      </c>
      <c r="B128" s="39" t="s">
        <v>19</v>
      </c>
      <c r="C128" s="14" t="s">
        <v>265</v>
      </c>
      <c r="D128" s="8"/>
      <c r="E128" s="8"/>
      <c r="F128" s="4"/>
      <c r="G128" s="4">
        <v>12000</v>
      </c>
      <c r="H128" s="4">
        <f>F128+G128</f>
        <v>12000</v>
      </c>
      <c r="I128" s="4">
        <v>12000</v>
      </c>
      <c r="J128" s="4"/>
      <c r="K128" s="4"/>
      <c r="L128" s="4"/>
      <c r="M128" s="4"/>
    </row>
    <row r="129" spans="1:13" s="48" customFormat="1" ht="12.75">
      <c r="A129" s="39"/>
      <c r="B129" s="39"/>
      <c r="C129" s="26" t="s">
        <v>83</v>
      </c>
      <c r="D129" s="6">
        <f aca="true" t="shared" si="34" ref="D129:M129">SUM(D130:D131)</f>
        <v>133000</v>
      </c>
      <c r="E129" s="6">
        <f t="shared" si="34"/>
        <v>0</v>
      </c>
      <c r="F129" s="6">
        <f t="shared" si="34"/>
        <v>133000</v>
      </c>
      <c r="G129" s="6">
        <f t="shared" si="34"/>
        <v>0</v>
      </c>
      <c r="H129" s="6">
        <f t="shared" si="34"/>
        <v>133000</v>
      </c>
      <c r="I129" s="6">
        <f t="shared" si="34"/>
        <v>133000</v>
      </c>
      <c r="J129" s="6">
        <f t="shared" si="34"/>
        <v>0</v>
      </c>
      <c r="K129" s="6">
        <f t="shared" si="34"/>
        <v>0</v>
      </c>
      <c r="L129" s="6">
        <f t="shared" si="34"/>
        <v>0</v>
      </c>
      <c r="M129" s="6">
        <f t="shared" si="34"/>
        <v>0</v>
      </c>
    </row>
    <row r="130" spans="1:13" s="48" customFormat="1" ht="12.75">
      <c r="A130" s="43">
        <v>31</v>
      </c>
      <c r="B130" s="39" t="s">
        <v>19</v>
      </c>
      <c r="C130" s="5" t="s">
        <v>171</v>
      </c>
      <c r="D130" s="52">
        <v>100000</v>
      </c>
      <c r="E130" s="52"/>
      <c r="F130" s="4">
        <f>D130+E130</f>
        <v>100000</v>
      </c>
      <c r="G130" s="4"/>
      <c r="H130" s="4">
        <f>F130+G130</f>
        <v>100000</v>
      </c>
      <c r="I130" s="4">
        <v>100000</v>
      </c>
      <c r="J130" s="4"/>
      <c r="K130" s="4"/>
      <c r="L130" s="4"/>
      <c r="M130" s="4"/>
    </row>
    <row r="131" spans="1:13" s="48" customFormat="1" ht="12.75">
      <c r="A131" s="47">
        <v>32</v>
      </c>
      <c r="B131" s="47" t="s">
        <v>19</v>
      </c>
      <c r="C131" s="25" t="s">
        <v>84</v>
      </c>
      <c r="D131" s="27">
        <v>33000</v>
      </c>
      <c r="E131" s="27"/>
      <c r="F131" s="4">
        <f>D131+E131</f>
        <v>33000</v>
      </c>
      <c r="G131" s="4"/>
      <c r="H131" s="4">
        <f>F131+G131</f>
        <v>33000</v>
      </c>
      <c r="I131" s="4">
        <v>33000</v>
      </c>
      <c r="J131" s="4"/>
      <c r="K131" s="4"/>
      <c r="L131" s="4"/>
      <c r="M131" s="4"/>
    </row>
    <row r="132" spans="1:13" s="48" customFormat="1" ht="12.75">
      <c r="A132" s="39"/>
      <c r="B132" s="39"/>
      <c r="C132" s="26" t="s">
        <v>232</v>
      </c>
      <c r="D132" s="6"/>
      <c r="E132" s="6"/>
      <c r="F132" s="6">
        <f aca="true" t="shared" si="35" ref="F132:M132">SUM(F133)</f>
        <v>77000</v>
      </c>
      <c r="G132" s="6">
        <f t="shared" si="35"/>
        <v>0</v>
      </c>
      <c r="H132" s="6">
        <f t="shared" si="35"/>
        <v>77000</v>
      </c>
      <c r="I132" s="6">
        <f t="shared" si="35"/>
        <v>77000</v>
      </c>
      <c r="J132" s="6">
        <f t="shared" si="35"/>
        <v>0</v>
      </c>
      <c r="K132" s="6">
        <f t="shared" si="35"/>
        <v>0</v>
      </c>
      <c r="L132" s="6">
        <f t="shared" si="35"/>
        <v>0</v>
      </c>
      <c r="M132" s="6">
        <f t="shared" si="35"/>
        <v>0</v>
      </c>
    </row>
    <row r="133" spans="1:13" s="48" customFormat="1" ht="25.5">
      <c r="A133" s="47">
        <v>33</v>
      </c>
      <c r="B133" s="47" t="s">
        <v>19</v>
      </c>
      <c r="C133" s="25" t="s">
        <v>245</v>
      </c>
      <c r="D133" s="27"/>
      <c r="E133" s="27"/>
      <c r="F133" s="4">
        <v>77000</v>
      </c>
      <c r="G133" s="4"/>
      <c r="H133" s="4">
        <f>F133+G133</f>
        <v>77000</v>
      </c>
      <c r="I133" s="4">
        <v>77000</v>
      </c>
      <c r="J133" s="4"/>
      <c r="K133" s="4"/>
      <c r="L133" s="4"/>
      <c r="M133" s="4"/>
    </row>
    <row r="134" spans="1:13" s="48" customFormat="1" ht="12.75">
      <c r="A134" s="42"/>
      <c r="B134" s="42">
        <v>67</v>
      </c>
      <c r="C134" s="23" t="s">
        <v>184</v>
      </c>
      <c r="D134" s="24">
        <f aca="true" t="shared" si="36" ref="D134:M134">SUM(D135:D136)</f>
        <v>220000</v>
      </c>
      <c r="E134" s="24">
        <f t="shared" si="36"/>
        <v>0</v>
      </c>
      <c r="F134" s="24">
        <f t="shared" si="36"/>
        <v>119000</v>
      </c>
      <c r="G134" s="24">
        <f t="shared" si="36"/>
        <v>81000</v>
      </c>
      <c r="H134" s="24">
        <f t="shared" si="36"/>
        <v>200000</v>
      </c>
      <c r="I134" s="24">
        <f t="shared" si="36"/>
        <v>200000</v>
      </c>
      <c r="J134" s="24">
        <f t="shared" si="36"/>
        <v>0</v>
      </c>
      <c r="K134" s="24">
        <f t="shared" si="36"/>
        <v>0</v>
      </c>
      <c r="L134" s="24">
        <f t="shared" si="36"/>
        <v>0</v>
      </c>
      <c r="M134" s="24">
        <f t="shared" si="36"/>
        <v>0</v>
      </c>
    </row>
    <row r="135" spans="1:13" s="48" customFormat="1" ht="12.75">
      <c r="A135" s="47">
        <v>1</v>
      </c>
      <c r="B135" s="39" t="s">
        <v>19</v>
      </c>
      <c r="C135" s="25" t="s">
        <v>85</v>
      </c>
      <c r="D135" s="27">
        <v>120000</v>
      </c>
      <c r="E135" s="27"/>
      <c r="F135" s="4">
        <v>119000</v>
      </c>
      <c r="G135" s="4">
        <v>81000</v>
      </c>
      <c r="H135" s="4">
        <f>F135+G135</f>
        <v>200000</v>
      </c>
      <c r="I135" s="4">
        <f>120000-1000+81000</f>
        <v>200000</v>
      </c>
      <c r="J135" s="4"/>
      <c r="K135" s="4"/>
      <c r="L135" s="4"/>
      <c r="M135" s="4"/>
    </row>
    <row r="136" spans="1:13" s="48" customFormat="1" ht="12.75">
      <c r="A136" s="47">
        <v>2</v>
      </c>
      <c r="B136" s="39" t="s">
        <v>19</v>
      </c>
      <c r="C136" s="25" t="s">
        <v>86</v>
      </c>
      <c r="D136" s="27">
        <v>100000</v>
      </c>
      <c r="E136" s="27"/>
      <c r="F136" s="4">
        <v>0</v>
      </c>
      <c r="G136" s="4"/>
      <c r="H136" s="4">
        <f>F136+G136</f>
        <v>0</v>
      </c>
      <c r="I136" s="4">
        <f>100000-100000</f>
        <v>0</v>
      </c>
      <c r="J136" s="4"/>
      <c r="K136" s="4"/>
      <c r="L136" s="4"/>
      <c r="M136" s="4"/>
    </row>
    <row r="137" spans="1:13" s="48" customFormat="1" ht="12.75">
      <c r="A137" s="42"/>
      <c r="B137" s="42">
        <v>67</v>
      </c>
      <c r="C137" s="23" t="s">
        <v>185</v>
      </c>
      <c r="D137" s="24">
        <f aca="true" t="shared" si="37" ref="D137:M137">D138</f>
        <v>7100000</v>
      </c>
      <c r="E137" s="24">
        <f t="shared" si="37"/>
        <v>0</v>
      </c>
      <c r="F137" s="24">
        <f t="shared" si="37"/>
        <v>7100000</v>
      </c>
      <c r="G137" s="24">
        <f t="shared" si="37"/>
        <v>0</v>
      </c>
      <c r="H137" s="24">
        <f t="shared" si="37"/>
        <v>7100000</v>
      </c>
      <c r="I137" s="24">
        <f t="shared" si="37"/>
        <v>7100000</v>
      </c>
      <c r="J137" s="24">
        <f t="shared" si="37"/>
        <v>0</v>
      </c>
      <c r="K137" s="24">
        <f t="shared" si="37"/>
        <v>0</v>
      </c>
      <c r="L137" s="24">
        <f t="shared" si="37"/>
        <v>0</v>
      </c>
      <c r="M137" s="24">
        <f t="shared" si="37"/>
        <v>0</v>
      </c>
    </row>
    <row r="138" spans="1:13" s="48" customFormat="1" ht="12.75">
      <c r="A138" s="28" t="s">
        <v>87</v>
      </c>
      <c r="B138" s="28" t="s">
        <v>45</v>
      </c>
      <c r="C138" s="25" t="s">
        <v>88</v>
      </c>
      <c r="D138" s="27">
        <v>7100000</v>
      </c>
      <c r="E138" s="27"/>
      <c r="F138" s="4">
        <f>D138+E138</f>
        <v>7100000</v>
      </c>
      <c r="G138" s="4"/>
      <c r="H138" s="4">
        <f>F138+G138</f>
        <v>7100000</v>
      </c>
      <c r="I138" s="4">
        <v>7100000</v>
      </c>
      <c r="J138" s="4"/>
      <c r="K138" s="4"/>
      <c r="L138" s="4"/>
      <c r="M138" s="4"/>
    </row>
    <row r="139" spans="1:13" s="48" customFormat="1" ht="25.5">
      <c r="A139" s="42"/>
      <c r="B139" s="42">
        <v>67</v>
      </c>
      <c r="C139" s="23" t="s">
        <v>247</v>
      </c>
      <c r="D139" s="24"/>
      <c r="E139" s="24"/>
      <c r="F139" s="24">
        <f aca="true" t="shared" si="38" ref="F139:M139">SUM(F140:F141)</f>
        <v>12000</v>
      </c>
      <c r="G139" s="24">
        <f t="shared" si="38"/>
        <v>0</v>
      </c>
      <c r="H139" s="24">
        <f t="shared" si="38"/>
        <v>12000</v>
      </c>
      <c r="I139" s="24">
        <f t="shared" si="38"/>
        <v>12000</v>
      </c>
      <c r="J139" s="24">
        <f t="shared" si="38"/>
        <v>0</v>
      </c>
      <c r="K139" s="24">
        <f t="shared" si="38"/>
        <v>0</v>
      </c>
      <c r="L139" s="24">
        <f t="shared" si="38"/>
        <v>0</v>
      </c>
      <c r="M139" s="24">
        <f t="shared" si="38"/>
        <v>0</v>
      </c>
    </row>
    <row r="140" spans="1:13" s="48" customFormat="1" ht="12.75">
      <c r="A140" s="28" t="s">
        <v>87</v>
      </c>
      <c r="B140" s="28" t="s">
        <v>19</v>
      </c>
      <c r="C140" s="25" t="s">
        <v>248</v>
      </c>
      <c r="D140" s="27"/>
      <c r="E140" s="27"/>
      <c r="F140" s="4">
        <v>8000</v>
      </c>
      <c r="G140" s="4"/>
      <c r="H140" s="4">
        <f>F140+G140</f>
        <v>8000</v>
      </c>
      <c r="I140" s="69">
        <f>4000+4000</f>
        <v>8000</v>
      </c>
      <c r="J140" s="4"/>
      <c r="K140" s="4"/>
      <c r="L140" s="4"/>
      <c r="M140" s="4"/>
    </row>
    <row r="141" spans="1:13" s="48" customFormat="1" ht="12.75">
      <c r="A141" s="28" t="s">
        <v>250</v>
      </c>
      <c r="B141" s="28" t="s">
        <v>19</v>
      </c>
      <c r="C141" s="25" t="s">
        <v>249</v>
      </c>
      <c r="D141" s="27"/>
      <c r="E141" s="27"/>
      <c r="F141" s="4">
        <v>4000</v>
      </c>
      <c r="G141" s="4"/>
      <c r="H141" s="4">
        <f>F141+G141</f>
        <v>4000</v>
      </c>
      <c r="I141" s="4">
        <v>4000</v>
      </c>
      <c r="J141" s="4"/>
      <c r="K141" s="4"/>
      <c r="L141" s="4"/>
      <c r="M141" s="4"/>
    </row>
    <row r="142" spans="1:13" s="48" customFormat="1" ht="25.5">
      <c r="A142" s="13"/>
      <c r="B142" s="12">
        <v>68</v>
      </c>
      <c r="C142" s="13" t="s">
        <v>89</v>
      </c>
      <c r="D142" s="65">
        <f aca="true" t="shared" si="39" ref="D142:M142">D143+D149+D151+D156+D158+D161+D178+D180+D183</f>
        <v>1281000</v>
      </c>
      <c r="E142" s="65">
        <f t="shared" si="39"/>
        <v>63000</v>
      </c>
      <c r="F142" s="65">
        <f t="shared" si="39"/>
        <v>1344000</v>
      </c>
      <c r="G142" s="65">
        <f t="shared" si="39"/>
        <v>0</v>
      </c>
      <c r="H142" s="65">
        <f t="shared" si="39"/>
        <v>1344000</v>
      </c>
      <c r="I142" s="65">
        <f t="shared" si="39"/>
        <v>1344000</v>
      </c>
      <c r="J142" s="65">
        <f t="shared" si="39"/>
        <v>0</v>
      </c>
      <c r="K142" s="65">
        <f t="shared" si="39"/>
        <v>0</v>
      </c>
      <c r="L142" s="65">
        <f t="shared" si="39"/>
        <v>0</v>
      </c>
      <c r="M142" s="65">
        <f t="shared" si="39"/>
        <v>0</v>
      </c>
    </row>
    <row r="143" spans="1:13" s="48" customFormat="1" ht="12.75">
      <c r="A143" s="39"/>
      <c r="B143" s="39"/>
      <c r="C143" s="29" t="s">
        <v>91</v>
      </c>
      <c r="D143" s="6">
        <f aca="true" t="shared" si="40" ref="D143:M143">SUM(D144:D148)</f>
        <v>90000</v>
      </c>
      <c r="E143" s="6">
        <f t="shared" si="40"/>
        <v>0</v>
      </c>
      <c r="F143" s="6">
        <f t="shared" si="40"/>
        <v>11000</v>
      </c>
      <c r="G143" s="6">
        <f t="shared" si="40"/>
        <v>0</v>
      </c>
      <c r="H143" s="6">
        <f t="shared" si="40"/>
        <v>11000</v>
      </c>
      <c r="I143" s="6">
        <f t="shared" si="40"/>
        <v>11000</v>
      </c>
      <c r="J143" s="6">
        <f t="shared" si="40"/>
        <v>0</v>
      </c>
      <c r="K143" s="6">
        <f t="shared" si="40"/>
        <v>0</v>
      </c>
      <c r="L143" s="6">
        <f t="shared" si="40"/>
        <v>0</v>
      </c>
      <c r="M143" s="6">
        <f t="shared" si="40"/>
        <v>0</v>
      </c>
    </row>
    <row r="144" spans="1:13" s="48" customFormat="1" ht="12.75">
      <c r="A144" s="39">
        <v>1</v>
      </c>
      <c r="B144" s="39" t="s">
        <v>93</v>
      </c>
      <c r="C144" s="30" t="s">
        <v>147</v>
      </c>
      <c r="D144" s="31">
        <v>80000</v>
      </c>
      <c r="E144" s="31"/>
      <c r="F144" s="4">
        <v>6000</v>
      </c>
      <c r="G144" s="4"/>
      <c r="H144" s="4">
        <f>F144+G144</f>
        <v>6000</v>
      </c>
      <c r="I144" s="4">
        <f>80000-74000</f>
        <v>6000</v>
      </c>
      <c r="J144" s="4"/>
      <c r="K144" s="4"/>
      <c r="L144" s="4"/>
      <c r="M144" s="4"/>
    </row>
    <row r="145" spans="1:13" s="48" customFormat="1" ht="12.75">
      <c r="A145" s="39">
        <v>2</v>
      </c>
      <c r="B145" s="39" t="s">
        <v>90</v>
      </c>
      <c r="C145" s="30" t="s">
        <v>148</v>
      </c>
      <c r="D145" s="31">
        <v>2000</v>
      </c>
      <c r="E145" s="31"/>
      <c r="F145" s="4">
        <f>D145+E145</f>
        <v>2000</v>
      </c>
      <c r="G145" s="4"/>
      <c r="H145" s="4">
        <f>F145+G145</f>
        <v>2000</v>
      </c>
      <c r="I145" s="4">
        <v>2000</v>
      </c>
      <c r="J145" s="4"/>
      <c r="K145" s="4"/>
      <c r="L145" s="4"/>
      <c r="M145" s="4"/>
    </row>
    <row r="146" spans="1:13" s="48" customFormat="1" ht="12.75">
      <c r="A146" s="39">
        <v>3</v>
      </c>
      <c r="B146" s="39" t="s">
        <v>90</v>
      </c>
      <c r="C146" s="30" t="s">
        <v>149</v>
      </c>
      <c r="D146" s="31">
        <v>2000</v>
      </c>
      <c r="E146" s="31"/>
      <c r="F146" s="4">
        <v>0</v>
      </c>
      <c r="G146" s="4"/>
      <c r="H146" s="4">
        <f>F146+G146</f>
        <v>0</v>
      </c>
      <c r="I146" s="4">
        <f>2000-2000</f>
        <v>0</v>
      </c>
      <c r="J146" s="4"/>
      <c r="K146" s="4"/>
      <c r="L146" s="4"/>
      <c r="M146" s="4"/>
    </row>
    <row r="147" spans="1:13" s="48" customFormat="1" ht="12.75">
      <c r="A147" s="39">
        <v>4</v>
      </c>
      <c r="B147" s="39" t="s">
        <v>90</v>
      </c>
      <c r="C147" s="30" t="s">
        <v>92</v>
      </c>
      <c r="D147" s="31">
        <v>3000</v>
      </c>
      <c r="E147" s="31"/>
      <c r="F147" s="4">
        <v>0</v>
      </c>
      <c r="G147" s="4"/>
      <c r="H147" s="4">
        <f>F147+G147</f>
        <v>0</v>
      </c>
      <c r="I147" s="4">
        <f>3000-3000</f>
        <v>0</v>
      </c>
      <c r="J147" s="4"/>
      <c r="K147" s="4"/>
      <c r="L147" s="4"/>
      <c r="M147" s="4"/>
    </row>
    <row r="148" spans="1:13" s="48" customFormat="1" ht="12.75">
      <c r="A148" s="39">
        <v>5</v>
      </c>
      <c r="B148" s="39" t="s">
        <v>90</v>
      </c>
      <c r="C148" s="30" t="s">
        <v>150</v>
      </c>
      <c r="D148" s="31">
        <v>3000</v>
      </c>
      <c r="E148" s="31"/>
      <c r="F148" s="4">
        <f>D148+E148</f>
        <v>3000</v>
      </c>
      <c r="G148" s="4"/>
      <c r="H148" s="4">
        <f>F148+G148</f>
        <v>3000</v>
      </c>
      <c r="I148" s="4">
        <v>3000</v>
      </c>
      <c r="J148" s="4"/>
      <c r="K148" s="4"/>
      <c r="L148" s="4"/>
      <c r="M148" s="4"/>
    </row>
    <row r="149" spans="1:13" s="48" customFormat="1" ht="12.75">
      <c r="A149" s="39"/>
      <c r="B149" s="39"/>
      <c r="C149" s="29" t="s">
        <v>155</v>
      </c>
      <c r="D149" s="6">
        <f aca="true" t="shared" si="41" ref="D149:M149">SUM(D150:D150)</f>
        <v>4000</v>
      </c>
      <c r="E149" s="6">
        <f t="shared" si="41"/>
        <v>0</v>
      </c>
      <c r="F149" s="6">
        <f t="shared" si="41"/>
        <v>0</v>
      </c>
      <c r="G149" s="6">
        <f t="shared" si="41"/>
        <v>0</v>
      </c>
      <c r="H149" s="6">
        <f t="shared" si="41"/>
        <v>0</v>
      </c>
      <c r="I149" s="6">
        <f t="shared" si="41"/>
        <v>0</v>
      </c>
      <c r="J149" s="6">
        <f t="shared" si="41"/>
        <v>0</v>
      </c>
      <c r="K149" s="6">
        <f t="shared" si="41"/>
        <v>0</v>
      </c>
      <c r="L149" s="6">
        <f t="shared" si="41"/>
        <v>0</v>
      </c>
      <c r="M149" s="6">
        <f t="shared" si="41"/>
        <v>0</v>
      </c>
    </row>
    <row r="150" spans="1:13" s="48" customFormat="1" ht="12.75">
      <c r="A150" s="39">
        <v>6</v>
      </c>
      <c r="B150" s="39" t="s">
        <v>90</v>
      </c>
      <c r="C150" s="30" t="s">
        <v>151</v>
      </c>
      <c r="D150" s="31">
        <v>4000</v>
      </c>
      <c r="E150" s="31"/>
      <c r="F150" s="4">
        <v>0</v>
      </c>
      <c r="G150" s="4"/>
      <c r="H150" s="4">
        <f>F150+G150</f>
        <v>0</v>
      </c>
      <c r="I150" s="4">
        <f>4000-4000</f>
        <v>0</v>
      </c>
      <c r="J150" s="4"/>
      <c r="K150" s="4"/>
      <c r="L150" s="4"/>
      <c r="M150" s="4"/>
    </row>
    <row r="151" spans="1:13" s="48" customFormat="1" ht="12.75">
      <c r="A151" s="39"/>
      <c r="B151" s="39"/>
      <c r="C151" s="29" t="s">
        <v>94</v>
      </c>
      <c r="D151" s="6">
        <f aca="true" t="shared" si="42" ref="D151:M151">SUM(D152:D155)</f>
        <v>49000</v>
      </c>
      <c r="E151" s="6">
        <f t="shared" si="42"/>
        <v>0</v>
      </c>
      <c r="F151" s="6">
        <f t="shared" si="42"/>
        <v>47950</v>
      </c>
      <c r="G151" s="6">
        <f t="shared" si="42"/>
        <v>0</v>
      </c>
      <c r="H151" s="6">
        <f t="shared" si="42"/>
        <v>47950</v>
      </c>
      <c r="I151" s="6">
        <f t="shared" si="42"/>
        <v>47950</v>
      </c>
      <c r="J151" s="6">
        <f t="shared" si="42"/>
        <v>0</v>
      </c>
      <c r="K151" s="6">
        <f t="shared" si="42"/>
        <v>0</v>
      </c>
      <c r="L151" s="6">
        <f t="shared" si="42"/>
        <v>0</v>
      </c>
      <c r="M151" s="6">
        <f t="shared" si="42"/>
        <v>0</v>
      </c>
    </row>
    <row r="152" spans="1:13" s="48" customFormat="1" ht="12.75">
      <c r="A152" s="39">
        <v>7</v>
      </c>
      <c r="B152" s="39" t="s">
        <v>93</v>
      </c>
      <c r="C152" s="30" t="s">
        <v>96</v>
      </c>
      <c r="D152" s="31">
        <v>28000</v>
      </c>
      <c r="E152" s="31"/>
      <c r="F152" s="4">
        <f>D152+E152</f>
        <v>28000</v>
      </c>
      <c r="G152" s="4"/>
      <c r="H152" s="4">
        <f>F152+G152</f>
        <v>28000</v>
      </c>
      <c r="I152" s="4">
        <v>28000</v>
      </c>
      <c r="J152" s="4"/>
      <c r="K152" s="4"/>
      <c r="L152" s="4"/>
      <c r="M152" s="4"/>
    </row>
    <row r="153" spans="1:13" s="48" customFormat="1" ht="12.75">
      <c r="A153" s="39">
        <v>8</v>
      </c>
      <c r="B153" s="39" t="s">
        <v>93</v>
      </c>
      <c r="C153" s="30" t="s">
        <v>152</v>
      </c>
      <c r="D153" s="31">
        <v>7000</v>
      </c>
      <c r="E153" s="31"/>
      <c r="F153" s="4">
        <v>5950</v>
      </c>
      <c r="G153" s="4"/>
      <c r="H153" s="4">
        <f>F153+G153</f>
        <v>5950</v>
      </c>
      <c r="I153" s="4">
        <f>7000-1050</f>
        <v>5950</v>
      </c>
      <c r="J153" s="4"/>
      <c r="K153" s="4"/>
      <c r="L153" s="4"/>
      <c r="M153" s="4"/>
    </row>
    <row r="154" spans="1:13" s="48" customFormat="1" ht="12.75">
      <c r="A154" s="39">
        <v>9</v>
      </c>
      <c r="B154" s="39" t="s">
        <v>90</v>
      </c>
      <c r="C154" s="30" t="s">
        <v>95</v>
      </c>
      <c r="D154" s="31">
        <v>8000</v>
      </c>
      <c r="E154" s="31"/>
      <c r="F154" s="4">
        <f>D154+E154</f>
        <v>8000</v>
      </c>
      <c r="G154" s="4"/>
      <c r="H154" s="4">
        <f>F154+G154</f>
        <v>8000</v>
      </c>
      <c r="I154" s="4">
        <v>8000</v>
      </c>
      <c r="J154" s="4"/>
      <c r="K154" s="4"/>
      <c r="L154" s="4"/>
      <c r="M154" s="4"/>
    </row>
    <row r="155" spans="1:13" s="48" customFormat="1" ht="12.75">
      <c r="A155" s="39">
        <v>10</v>
      </c>
      <c r="B155" s="39" t="s">
        <v>90</v>
      </c>
      <c r="C155" s="30" t="s">
        <v>153</v>
      </c>
      <c r="D155" s="31">
        <v>6000</v>
      </c>
      <c r="E155" s="31"/>
      <c r="F155" s="4">
        <f>D155+E155</f>
        <v>6000</v>
      </c>
      <c r="G155" s="4"/>
      <c r="H155" s="4">
        <f>F155+G155</f>
        <v>6000</v>
      </c>
      <c r="I155" s="4">
        <v>6000</v>
      </c>
      <c r="J155" s="4"/>
      <c r="K155" s="4"/>
      <c r="L155" s="4"/>
      <c r="M155" s="4"/>
    </row>
    <row r="156" spans="1:13" s="48" customFormat="1" ht="12.75">
      <c r="A156" s="44"/>
      <c r="B156" s="44"/>
      <c r="C156" s="29" t="s">
        <v>157</v>
      </c>
      <c r="D156" s="6">
        <f aca="true" t="shared" si="43" ref="D156:M156">SUM(D157:D157)</f>
        <v>12000</v>
      </c>
      <c r="E156" s="6">
        <f t="shared" si="43"/>
        <v>0</v>
      </c>
      <c r="F156" s="6">
        <f t="shared" si="43"/>
        <v>0</v>
      </c>
      <c r="G156" s="6">
        <f t="shared" si="43"/>
        <v>0</v>
      </c>
      <c r="H156" s="6">
        <f t="shared" si="43"/>
        <v>0</v>
      </c>
      <c r="I156" s="6">
        <f t="shared" si="43"/>
        <v>0</v>
      </c>
      <c r="J156" s="6">
        <f t="shared" si="43"/>
        <v>0</v>
      </c>
      <c r="K156" s="6">
        <f t="shared" si="43"/>
        <v>0</v>
      </c>
      <c r="L156" s="6">
        <f t="shared" si="43"/>
        <v>0</v>
      </c>
      <c r="M156" s="6">
        <f t="shared" si="43"/>
        <v>0</v>
      </c>
    </row>
    <row r="157" spans="1:13" s="48" customFormat="1" ht="12.75">
      <c r="A157" s="39">
        <v>11</v>
      </c>
      <c r="B157" s="39" t="s">
        <v>90</v>
      </c>
      <c r="C157" s="30" t="s">
        <v>154</v>
      </c>
      <c r="D157" s="31">
        <v>12000</v>
      </c>
      <c r="E157" s="31"/>
      <c r="F157" s="4">
        <v>0</v>
      </c>
      <c r="G157" s="4"/>
      <c r="H157" s="4">
        <f>F157+G157</f>
        <v>0</v>
      </c>
      <c r="I157" s="4">
        <f>12000-12000</f>
        <v>0</v>
      </c>
      <c r="J157" s="4"/>
      <c r="K157" s="4"/>
      <c r="L157" s="4"/>
      <c r="M157" s="4"/>
    </row>
    <row r="158" spans="1:13" s="48" customFormat="1" ht="12.75">
      <c r="A158" s="44"/>
      <c r="B158" s="44"/>
      <c r="C158" s="29" t="s">
        <v>156</v>
      </c>
      <c r="D158" s="6">
        <f>SUM(D159:D159)</f>
        <v>8000</v>
      </c>
      <c r="E158" s="6">
        <f>SUM(E159:E159)</f>
        <v>0</v>
      </c>
      <c r="F158" s="6">
        <f aca="true" t="shared" si="44" ref="F158:M158">SUM(F159:F160)</f>
        <v>85408</v>
      </c>
      <c r="G158" s="6">
        <f t="shared" si="44"/>
        <v>0</v>
      </c>
      <c r="H158" s="6">
        <f t="shared" si="44"/>
        <v>85408</v>
      </c>
      <c r="I158" s="6">
        <f t="shared" si="44"/>
        <v>85408</v>
      </c>
      <c r="J158" s="6">
        <f t="shared" si="44"/>
        <v>0</v>
      </c>
      <c r="K158" s="6">
        <f t="shared" si="44"/>
        <v>0</v>
      </c>
      <c r="L158" s="6">
        <f t="shared" si="44"/>
        <v>0</v>
      </c>
      <c r="M158" s="6">
        <f t="shared" si="44"/>
        <v>0</v>
      </c>
    </row>
    <row r="159" spans="1:13" s="48" customFormat="1" ht="12.75">
      <c r="A159" s="43">
        <v>12</v>
      </c>
      <c r="B159" s="39" t="s">
        <v>90</v>
      </c>
      <c r="C159" s="30" t="s">
        <v>158</v>
      </c>
      <c r="D159" s="8">
        <v>8000</v>
      </c>
      <c r="E159" s="8"/>
      <c r="F159" s="4">
        <f>D159+E159</f>
        <v>8000</v>
      </c>
      <c r="G159" s="4"/>
      <c r="H159" s="4">
        <f>F159+G159</f>
        <v>8000</v>
      </c>
      <c r="I159" s="4">
        <v>8000</v>
      </c>
      <c r="J159" s="4"/>
      <c r="K159" s="4"/>
      <c r="L159" s="4"/>
      <c r="M159" s="4"/>
    </row>
    <row r="160" spans="1:13" s="48" customFormat="1" ht="12.75">
      <c r="A160" s="43">
        <v>13</v>
      </c>
      <c r="B160" s="39" t="s">
        <v>93</v>
      </c>
      <c r="C160" s="30" t="s">
        <v>233</v>
      </c>
      <c r="D160" s="8"/>
      <c r="E160" s="8"/>
      <c r="F160" s="4">
        <v>77408</v>
      </c>
      <c r="G160" s="4"/>
      <c r="H160" s="4">
        <f>F160+G160</f>
        <v>77408</v>
      </c>
      <c r="I160" s="4">
        <v>77408</v>
      </c>
      <c r="J160" s="4"/>
      <c r="K160" s="4"/>
      <c r="L160" s="4"/>
      <c r="M160" s="4"/>
    </row>
    <row r="161" spans="1:13" s="48" customFormat="1" ht="12.75">
      <c r="A161" s="39"/>
      <c r="B161" s="39"/>
      <c r="C161" s="29" t="s">
        <v>97</v>
      </c>
      <c r="D161" s="6">
        <f>SUM(D162:D175)</f>
        <v>632000</v>
      </c>
      <c r="E161" s="6">
        <f>SUM(E162:E175)</f>
        <v>0</v>
      </c>
      <c r="F161" s="6">
        <f aca="true" t="shared" si="45" ref="F161:M161">SUM(F162:F177)</f>
        <v>650642</v>
      </c>
      <c r="G161" s="6">
        <f t="shared" si="45"/>
        <v>0</v>
      </c>
      <c r="H161" s="6">
        <f t="shared" si="45"/>
        <v>650642</v>
      </c>
      <c r="I161" s="6">
        <f t="shared" si="45"/>
        <v>650642</v>
      </c>
      <c r="J161" s="6">
        <f t="shared" si="45"/>
        <v>0</v>
      </c>
      <c r="K161" s="6">
        <f t="shared" si="45"/>
        <v>0</v>
      </c>
      <c r="L161" s="6">
        <f t="shared" si="45"/>
        <v>0</v>
      </c>
      <c r="M161" s="6">
        <f t="shared" si="45"/>
        <v>0</v>
      </c>
    </row>
    <row r="162" spans="1:13" s="48" customFormat="1" ht="12.75">
      <c r="A162" s="39">
        <v>14</v>
      </c>
      <c r="B162" s="39" t="s">
        <v>98</v>
      </c>
      <c r="C162" s="14" t="s">
        <v>99</v>
      </c>
      <c r="D162" s="8">
        <v>43000</v>
      </c>
      <c r="E162" s="8"/>
      <c r="F162" s="4">
        <f>D162+E162</f>
        <v>43000</v>
      </c>
      <c r="G162" s="4"/>
      <c r="H162" s="4">
        <f aca="true" t="shared" si="46" ref="H162:H177">F162+G162</f>
        <v>43000</v>
      </c>
      <c r="I162" s="4">
        <v>43000</v>
      </c>
      <c r="J162" s="4"/>
      <c r="K162" s="4"/>
      <c r="L162" s="4"/>
      <c r="M162" s="4"/>
    </row>
    <row r="163" spans="1:13" s="48" customFormat="1" ht="19.5" customHeight="1">
      <c r="A163" s="39">
        <v>15</v>
      </c>
      <c r="B163" s="39" t="s">
        <v>98</v>
      </c>
      <c r="C163" s="14" t="s">
        <v>100</v>
      </c>
      <c r="D163" s="8">
        <v>48000</v>
      </c>
      <c r="E163" s="8"/>
      <c r="F163" s="4">
        <f>D163+E163</f>
        <v>48000</v>
      </c>
      <c r="G163" s="4"/>
      <c r="H163" s="4">
        <f t="shared" si="46"/>
        <v>48000</v>
      </c>
      <c r="I163" s="4">
        <v>48000</v>
      </c>
      <c r="J163" s="4"/>
      <c r="K163" s="4"/>
      <c r="L163" s="4"/>
      <c r="M163" s="4"/>
    </row>
    <row r="164" spans="1:13" s="48" customFormat="1" ht="12.75">
      <c r="A164" s="39">
        <v>16</v>
      </c>
      <c r="B164" s="39" t="s">
        <v>93</v>
      </c>
      <c r="C164" s="14" t="s">
        <v>104</v>
      </c>
      <c r="D164" s="8">
        <v>35000</v>
      </c>
      <c r="E164" s="8"/>
      <c r="F164" s="4">
        <f>D164+E164</f>
        <v>35000</v>
      </c>
      <c r="G164" s="4"/>
      <c r="H164" s="4">
        <f t="shared" si="46"/>
        <v>35000</v>
      </c>
      <c r="I164" s="4">
        <v>35000</v>
      </c>
      <c r="J164" s="4"/>
      <c r="K164" s="4"/>
      <c r="L164" s="4"/>
      <c r="M164" s="4"/>
    </row>
    <row r="165" spans="1:13" s="48" customFormat="1" ht="12.75">
      <c r="A165" s="39">
        <v>17</v>
      </c>
      <c r="B165" s="39" t="s">
        <v>98</v>
      </c>
      <c r="C165" s="14" t="s">
        <v>105</v>
      </c>
      <c r="D165" s="8">
        <v>100000</v>
      </c>
      <c r="E165" s="8"/>
      <c r="F165" s="4">
        <f>D165+E165</f>
        <v>100000</v>
      </c>
      <c r="G165" s="4"/>
      <c r="H165" s="4">
        <f t="shared" si="46"/>
        <v>100000</v>
      </c>
      <c r="I165" s="4">
        <v>100000</v>
      </c>
      <c r="J165" s="4"/>
      <c r="K165" s="4"/>
      <c r="L165" s="4"/>
      <c r="M165" s="4"/>
    </row>
    <row r="166" spans="1:13" s="48" customFormat="1" ht="12.75">
      <c r="A166" s="39">
        <v>18</v>
      </c>
      <c r="B166" s="39" t="s">
        <v>93</v>
      </c>
      <c r="C166" s="3" t="s">
        <v>160</v>
      </c>
      <c r="D166" s="4">
        <v>100000</v>
      </c>
      <c r="E166" s="4"/>
      <c r="F166" s="4">
        <f>D166+E166</f>
        <v>100000</v>
      </c>
      <c r="G166" s="4"/>
      <c r="H166" s="4">
        <f t="shared" si="46"/>
        <v>100000</v>
      </c>
      <c r="I166" s="4">
        <f>100000</f>
        <v>100000</v>
      </c>
      <c r="J166" s="4"/>
      <c r="K166" s="4"/>
      <c r="L166" s="4"/>
      <c r="M166" s="4"/>
    </row>
    <row r="167" spans="1:13" s="48" customFormat="1" ht="12.75">
      <c r="A167" s="39">
        <v>19</v>
      </c>
      <c r="B167" s="39" t="s">
        <v>93</v>
      </c>
      <c r="C167" s="14" t="s">
        <v>101</v>
      </c>
      <c r="D167" s="8">
        <v>5000</v>
      </c>
      <c r="E167" s="8"/>
      <c r="F167" s="4">
        <v>4562</v>
      </c>
      <c r="G167" s="4"/>
      <c r="H167" s="4">
        <f t="shared" si="46"/>
        <v>4562</v>
      </c>
      <c r="I167" s="4">
        <f>5000-438</f>
        <v>4562</v>
      </c>
      <c r="J167" s="4"/>
      <c r="K167" s="4"/>
      <c r="L167" s="4"/>
      <c r="M167" s="4"/>
    </row>
    <row r="168" spans="1:13" s="48" customFormat="1" ht="12.75">
      <c r="A168" s="39">
        <v>20</v>
      </c>
      <c r="B168" s="39" t="s">
        <v>93</v>
      </c>
      <c r="C168" s="14" t="s">
        <v>102</v>
      </c>
      <c r="D168" s="8">
        <v>5000</v>
      </c>
      <c r="E168" s="8"/>
      <c r="F168" s="4">
        <f>D168+E168</f>
        <v>5000</v>
      </c>
      <c r="G168" s="4"/>
      <c r="H168" s="4">
        <f t="shared" si="46"/>
        <v>5000</v>
      </c>
      <c r="I168" s="4">
        <v>5000</v>
      </c>
      <c r="J168" s="4"/>
      <c r="K168" s="4"/>
      <c r="L168" s="4"/>
      <c r="M168" s="4"/>
    </row>
    <row r="169" spans="1:13" s="48" customFormat="1" ht="12.75">
      <c r="A169" s="39">
        <v>21</v>
      </c>
      <c r="B169" s="39" t="s">
        <v>93</v>
      </c>
      <c r="C169" s="14" t="s">
        <v>103</v>
      </c>
      <c r="D169" s="8">
        <v>30000</v>
      </c>
      <c r="E169" s="8"/>
      <c r="F169" s="4">
        <v>4000</v>
      </c>
      <c r="G169" s="4"/>
      <c r="H169" s="4">
        <f t="shared" si="46"/>
        <v>4000</v>
      </c>
      <c r="I169" s="4">
        <f>30000-26000</f>
        <v>4000</v>
      </c>
      <c r="J169" s="4"/>
      <c r="K169" s="4"/>
      <c r="L169" s="4"/>
      <c r="M169" s="4"/>
    </row>
    <row r="170" spans="1:13" s="48" customFormat="1" ht="12.75">
      <c r="A170" s="39">
        <v>22</v>
      </c>
      <c r="B170" s="39" t="s">
        <v>90</v>
      </c>
      <c r="C170" s="4" t="s">
        <v>159</v>
      </c>
      <c r="D170" s="8">
        <v>34000</v>
      </c>
      <c r="E170" s="8"/>
      <c r="F170" s="4">
        <f>D170+E170</f>
        <v>34000</v>
      </c>
      <c r="G170" s="4"/>
      <c r="H170" s="4">
        <f t="shared" si="46"/>
        <v>34000</v>
      </c>
      <c r="I170" s="4">
        <v>34000</v>
      </c>
      <c r="J170" s="4"/>
      <c r="K170" s="4"/>
      <c r="L170" s="4"/>
      <c r="M170" s="4"/>
    </row>
    <row r="171" spans="1:13" s="48" customFormat="1" ht="12.75">
      <c r="A171" s="39">
        <v>23</v>
      </c>
      <c r="B171" s="39" t="s">
        <v>90</v>
      </c>
      <c r="C171" s="3" t="s">
        <v>161</v>
      </c>
      <c r="D171" s="4">
        <v>12000</v>
      </c>
      <c r="E171" s="4"/>
      <c r="F171" s="4">
        <v>10080</v>
      </c>
      <c r="G171" s="4"/>
      <c r="H171" s="4">
        <f t="shared" si="46"/>
        <v>10080</v>
      </c>
      <c r="I171" s="4">
        <f>12000-1920</f>
        <v>10080</v>
      </c>
      <c r="J171" s="4"/>
      <c r="K171" s="4"/>
      <c r="L171" s="4"/>
      <c r="M171" s="4"/>
    </row>
    <row r="172" spans="1:13" s="48" customFormat="1" ht="12.75">
      <c r="A172" s="39">
        <v>24</v>
      </c>
      <c r="B172" s="39" t="s">
        <v>90</v>
      </c>
      <c r="C172" s="3" t="s">
        <v>106</v>
      </c>
      <c r="D172" s="4">
        <v>30000</v>
      </c>
      <c r="E172" s="4"/>
      <c r="F172" s="4">
        <f>D172+E172</f>
        <v>30000</v>
      </c>
      <c r="G172" s="4"/>
      <c r="H172" s="4">
        <f t="shared" si="46"/>
        <v>30000</v>
      </c>
      <c r="I172" s="4">
        <v>30000</v>
      </c>
      <c r="J172" s="4"/>
      <c r="K172" s="4"/>
      <c r="L172" s="4"/>
      <c r="M172" s="4"/>
    </row>
    <row r="173" spans="1:13" s="48" customFormat="1" ht="12.75">
      <c r="A173" s="39">
        <v>25</v>
      </c>
      <c r="B173" s="39" t="s">
        <v>90</v>
      </c>
      <c r="C173" s="14" t="s">
        <v>107</v>
      </c>
      <c r="D173" s="8">
        <v>30000</v>
      </c>
      <c r="E173" s="8"/>
      <c r="F173" s="4">
        <f>D173+E173</f>
        <v>30000</v>
      </c>
      <c r="G173" s="4"/>
      <c r="H173" s="4">
        <f t="shared" si="46"/>
        <v>30000</v>
      </c>
      <c r="I173" s="4">
        <v>30000</v>
      </c>
      <c r="J173" s="4"/>
      <c r="K173" s="4"/>
      <c r="L173" s="4"/>
      <c r="M173" s="4"/>
    </row>
    <row r="174" spans="1:13" s="48" customFormat="1" ht="12.75">
      <c r="A174" s="39">
        <v>26</v>
      </c>
      <c r="B174" s="39" t="s">
        <v>90</v>
      </c>
      <c r="C174" s="14" t="s">
        <v>108</v>
      </c>
      <c r="D174" s="8">
        <v>0</v>
      </c>
      <c r="E174" s="8"/>
      <c r="F174" s="4">
        <f>D174+E174</f>
        <v>0</v>
      </c>
      <c r="G174" s="4"/>
      <c r="H174" s="4">
        <f t="shared" si="46"/>
        <v>0</v>
      </c>
      <c r="I174" s="4">
        <v>0</v>
      </c>
      <c r="J174" s="4"/>
      <c r="K174" s="4"/>
      <c r="L174" s="4"/>
      <c r="M174" s="4"/>
    </row>
    <row r="175" spans="1:13" s="48" customFormat="1" ht="12.75">
      <c r="A175" s="39">
        <v>27</v>
      </c>
      <c r="B175" s="39" t="s">
        <v>90</v>
      </c>
      <c r="C175" s="14" t="s">
        <v>109</v>
      </c>
      <c r="D175" s="8">
        <v>160000</v>
      </c>
      <c r="E175" s="8"/>
      <c r="F175" s="4">
        <f>D175+E175</f>
        <v>160000</v>
      </c>
      <c r="G175" s="4"/>
      <c r="H175" s="4">
        <f t="shared" si="46"/>
        <v>160000</v>
      </c>
      <c r="I175" s="4">
        <v>160000</v>
      </c>
      <c r="J175" s="4"/>
      <c r="K175" s="4"/>
      <c r="L175" s="4"/>
      <c r="M175" s="4"/>
    </row>
    <row r="176" spans="1:13" s="48" customFormat="1" ht="12.75">
      <c r="A176" s="39">
        <v>28</v>
      </c>
      <c r="B176" s="39" t="s">
        <v>93</v>
      </c>
      <c r="C176" s="14" t="s">
        <v>254</v>
      </c>
      <c r="D176" s="8"/>
      <c r="E176" s="8"/>
      <c r="F176" s="4">
        <v>30000</v>
      </c>
      <c r="G176" s="4"/>
      <c r="H176" s="4">
        <f t="shared" si="46"/>
        <v>30000</v>
      </c>
      <c r="I176" s="4">
        <f>30000</f>
        <v>30000</v>
      </c>
      <c r="J176" s="4"/>
      <c r="K176" s="4"/>
      <c r="L176" s="4"/>
      <c r="M176" s="4"/>
    </row>
    <row r="177" spans="1:13" s="48" customFormat="1" ht="25.5">
      <c r="A177" s="39">
        <v>29</v>
      </c>
      <c r="B177" s="39" t="s">
        <v>93</v>
      </c>
      <c r="C177" s="14" t="s">
        <v>253</v>
      </c>
      <c r="D177" s="8"/>
      <c r="E177" s="8"/>
      <c r="F177" s="4">
        <v>17000</v>
      </c>
      <c r="G177" s="4"/>
      <c r="H177" s="4">
        <f t="shared" si="46"/>
        <v>17000</v>
      </c>
      <c r="I177" s="4">
        <f>17000</f>
        <v>17000</v>
      </c>
      <c r="J177" s="4"/>
      <c r="K177" s="4"/>
      <c r="L177" s="4"/>
      <c r="M177" s="4"/>
    </row>
    <row r="178" spans="1:13" s="48" customFormat="1" ht="12.75">
      <c r="A178" s="39"/>
      <c r="B178" s="39"/>
      <c r="C178" s="29" t="s">
        <v>162</v>
      </c>
      <c r="D178" s="6">
        <f aca="true" t="shared" si="47" ref="D178:M178">SUM(D179:D179)</f>
        <v>40000</v>
      </c>
      <c r="E178" s="6">
        <f t="shared" si="47"/>
        <v>63000</v>
      </c>
      <c r="F178" s="6">
        <f t="shared" si="47"/>
        <v>103000</v>
      </c>
      <c r="G178" s="6">
        <f t="shared" si="47"/>
        <v>0</v>
      </c>
      <c r="H178" s="6">
        <f t="shared" si="47"/>
        <v>103000</v>
      </c>
      <c r="I178" s="6">
        <f t="shared" si="47"/>
        <v>103000</v>
      </c>
      <c r="J178" s="6">
        <f t="shared" si="47"/>
        <v>0</v>
      </c>
      <c r="K178" s="6">
        <f t="shared" si="47"/>
        <v>0</v>
      </c>
      <c r="L178" s="6">
        <f t="shared" si="47"/>
        <v>0</v>
      </c>
      <c r="M178" s="6">
        <f t="shared" si="47"/>
        <v>0</v>
      </c>
    </row>
    <row r="179" spans="1:13" s="48" customFormat="1" ht="12.75">
      <c r="A179" s="39">
        <v>30</v>
      </c>
      <c r="B179" s="39" t="s">
        <v>90</v>
      </c>
      <c r="C179" s="3" t="s">
        <v>112</v>
      </c>
      <c r="D179" s="8">
        <v>40000</v>
      </c>
      <c r="E179" s="8">
        <v>63000</v>
      </c>
      <c r="F179" s="4">
        <f>D179+E179</f>
        <v>103000</v>
      </c>
      <c r="G179" s="4"/>
      <c r="H179" s="4">
        <f>F179+G179</f>
        <v>103000</v>
      </c>
      <c r="I179" s="4">
        <f>40000+63000</f>
        <v>103000</v>
      </c>
      <c r="J179" s="4"/>
      <c r="K179" s="4"/>
      <c r="L179" s="4"/>
      <c r="M179" s="4"/>
    </row>
    <row r="180" spans="1:13" s="48" customFormat="1" ht="12.75">
      <c r="A180" s="39"/>
      <c r="B180" s="39"/>
      <c r="C180" s="29" t="s">
        <v>163</v>
      </c>
      <c r="D180" s="6">
        <f aca="true" t="shared" si="48" ref="D180:M180">SUM(D181:D182)</f>
        <v>256000</v>
      </c>
      <c r="E180" s="6">
        <f t="shared" si="48"/>
        <v>0</v>
      </c>
      <c r="F180" s="6">
        <f t="shared" si="48"/>
        <v>256000</v>
      </c>
      <c r="G180" s="6">
        <f t="shared" si="48"/>
        <v>0</v>
      </c>
      <c r="H180" s="6">
        <f t="shared" si="48"/>
        <v>256000</v>
      </c>
      <c r="I180" s="6">
        <f t="shared" si="48"/>
        <v>256000</v>
      </c>
      <c r="J180" s="6">
        <f t="shared" si="48"/>
        <v>0</v>
      </c>
      <c r="K180" s="6">
        <f t="shared" si="48"/>
        <v>0</v>
      </c>
      <c r="L180" s="6">
        <f t="shared" si="48"/>
        <v>0</v>
      </c>
      <c r="M180" s="6">
        <f t="shared" si="48"/>
        <v>0</v>
      </c>
    </row>
    <row r="181" spans="1:13" s="48" customFormat="1" ht="12.75">
      <c r="A181" s="39">
        <v>31</v>
      </c>
      <c r="B181" s="39" t="s">
        <v>98</v>
      </c>
      <c r="C181" s="14" t="s">
        <v>110</v>
      </c>
      <c r="D181" s="8">
        <v>226000</v>
      </c>
      <c r="E181" s="8"/>
      <c r="F181" s="4">
        <f>D181+E181</f>
        <v>226000</v>
      </c>
      <c r="G181" s="4"/>
      <c r="H181" s="4">
        <f>F181+G181</f>
        <v>226000</v>
      </c>
      <c r="I181" s="4">
        <v>226000</v>
      </c>
      <c r="J181" s="4"/>
      <c r="K181" s="4"/>
      <c r="L181" s="4"/>
      <c r="M181" s="4"/>
    </row>
    <row r="182" spans="1:13" s="48" customFormat="1" ht="12.75">
      <c r="A182" s="39">
        <v>32</v>
      </c>
      <c r="B182" s="39" t="s">
        <v>90</v>
      </c>
      <c r="C182" s="14" t="s">
        <v>194</v>
      </c>
      <c r="D182" s="8">
        <v>30000</v>
      </c>
      <c r="E182" s="8"/>
      <c r="F182" s="4">
        <f>D182+E182</f>
        <v>30000</v>
      </c>
      <c r="G182" s="4"/>
      <c r="H182" s="4">
        <f>F182+G182</f>
        <v>30000</v>
      </c>
      <c r="I182" s="4">
        <v>30000</v>
      </c>
      <c r="J182" s="4"/>
      <c r="K182" s="4"/>
      <c r="L182" s="4"/>
      <c r="M182" s="4"/>
    </row>
    <row r="183" spans="1:13" s="48" customFormat="1" ht="12.75">
      <c r="A183" s="40"/>
      <c r="B183" s="40"/>
      <c r="C183" s="26" t="s">
        <v>111</v>
      </c>
      <c r="D183" s="6">
        <f aca="true" t="shared" si="49" ref="D183:M183">SUM(D184:D186)</f>
        <v>190000</v>
      </c>
      <c r="E183" s="6">
        <f t="shared" si="49"/>
        <v>0</v>
      </c>
      <c r="F183" s="6">
        <f t="shared" si="49"/>
        <v>190000</v>
      </c>
      <c r="G183" s="6">
        <f t="shared" si="49"/>
        <v>0</v>
      </c>
      <c r="H183" s="6">
        <f t="shared" si="49"/>
        <v>190000</v>
      </c>
      <c r="I183" s="6">
        <f t="shared" si="49"/>
        <v>190000</v>
      </c>
      <c r="J183" s="6">
        <f t="shared" si="49"/>
        <v>0</v>
      </c>
      <c r="K183" s="6">
        <f t="shared" si="49"/>
        <v>0</v>
      </c>
      <c r="L183" s="6">
        <f t="shared" si="49"/>
        <v>0</v>
      </c>
      <c r="M183" s="6">
        <f t="shared" si="49"/>
        <v>0</v>
      </c>
    </row>
    <row r="184" spans="1:13" s="48" customFormat="1" ht="12.75">
      <c r="A184" s="39">
        <v>33</v>
      </c>
      <c r="B184" s="39" t="s">
        <v>90</v>
      </c>
      <c r="C184" s="30" t="s">
        <v>164</v>
      </c>
      <c r="D184" s="66">
        <v>50000</v>
      </c>
      <c r="E184" s="66"/>
      <c r="F184" s="4">
        <f>D184+E184</f>
        <v>50000</v>
      </c>
      <c r="G184" s="4"/>
      <c r="H184" s="4">
        <f>F184+G184</f>
        <v>50000</v>
      </c>
      <c r="I184" s="4">
        <f>50000</f>
        <v>50000</v>
      </c>
      <c r="J184" s="4"/>
      <c r="K184" s="4"/>
      <c r="L184" s="4"/>
      <c r="M184" s="4"/>
    </row>
    <row r="185" spans="1:13" s="48" customFormat="1" ht="12.75">
      <c r="A185" s="39">
        <v>34</v>
      </c>
      <c r="B185" s="39" t="s">
        <v>90</v>
      </c>
      <c r="C185" s="3" t="s">
        <v>112</v>
      </c>
      <c r="D185" s="62">
        <v>70000</v>
      </c>
      <c r="E185" s="62"/>
      <c r="F185" s="4">
        <f>D185+E185</f>
        <v>70000</v>
      </c>
      <c r="G185" s="4"/>
      <c r="H185" s="4">
        <f>F185+G185</f>
        <v>70000</v>
      </c>
      <c r="I185" s="4">
        <f>70000</f>
        <v>70000</v>
      </c>
      <c r="J185" s="4"/>
      <c r="K185" s="4"/>
      <c r="L185" s="4"/>
      <c r="M185" s="4"/>
    </row>
    <row r="186" spans="1:13" s="48" customFormat="1" ht="12.75">
      <c r="A186" s="39">
        <v>35</v>
      </c>
      <c r="B186" s="39" t="s">
        <v>90</v>
      </c>
      <c r="C186" s="14" t="s">
        <v>165</v>
      </c>
      <c r="D186" s="59">
        <v>70000</v>
      </c>
      <c r="E186" s="59"/>
      <c r="F186" s="4">
        <f>D186+E186</f>
        <v>70000</v>
      </c>
      <c r="G186" s="4"/>
      <c r="H186" s="4">
        <f>F186+G186</f>
        <v>70000</v>
      </c>
      <c r="I186" s="4">
        <f>70000</f>
        <v>70000</v>
      </c>
      <c r="J186" s="4"/>
      <c r="K186" s="4"/>
      <c r="L186" s="4"/>
      <c r="M186" s="4"/>
    </row>
    <row r="187" spans="1:13" s="48" customFormat="1" ht="12.75">
      <c r="A187" s="13"/>
      <c r="B187" s="12" t="s">
        <v>168</v>
      </c>
      <c r="C187" s="13" t="s">
        <v>113</v>
      </c>
      <c r="D187" s="32">
        <f aca="true" t="shared" si="50" ref="D187:M187">SUM(D188)</f>
        <v>50000</v>
      </c>
      <c r="E187" s="32">
        <f t="shared" si="50"/>
        <v>0</v>
      </c>
      <c r="F187" s="32">
        <f t="shared" si="50"/>
        <v>50000</v>
      </c>
      <c r="G187" s="32">
        <f t="shared" si="50"/>
        <v>0</v>
      </c>
      <c r="H187" s="32">
        <f t="shared" si="50"/>
        <v>50000</v>
      </c>
      <c r="I187" s="32">
        <f t="shared" si="50"/>
        <v>50000</v>
      </c>
      <c r="J187" s="32">
        <f t="shared" si="50"/>
        <v>0</v>
      </c>
      <c r="K187" s="32">
        <f t="shared" si="50"/>
        <v>0</v>
      </c>
      <c r="L187" s="32">
        <f t="shared" si="50"/>
        <v>0</v>
      </c>
      <c r="M187" s="32">
        <f t="shared" si="50"/>
        <v>0</v>
      </c>
    </row>
    <row r="188" spans="1:13" s="48" customFormat="1" ht="12.75">
      <c r="A188" s="39">
        <v>1</v>
      </c>
      <c r="B188" s="39" t="s">
        <v>90</v>
      </c>
      <c r="C188" s="14" t="s">
        <v>114</v>
      </c>
      <c r="D188" s="8">
        <v>50000</v>
      </c>
      <c r="E188" s="8"/>
      <c r="F188" s="4">
        <f>D188+E188</f>
        <v>50000</v>
      </c>
      <c r="G188" s="4"/>
      <c r="H188" s="4">
        <f>F188+G188</f>
        <v>50000</v>
      </c>
      <c r="I188" s="4">
        <v>50000</v>
      </c>
      <c r="J188" s="4"/>
      <c r="K188" s="4"/>
      <c r="L188" s="4"/>
      <c r="M188" s="4"/>
    </row>
    <row r="189" spans="1:13" s="48" customFormat="1" ht="12.75">
      <c r="A189" s="13"/>
      <c r="B189" s="12" t="s">
        <v>169</v>
      </c>
      <c r="C189" s="13" t="s">
        <v>186</v>
      </c>
      <c r="D189" s="32">
        <f>SUM(D190:D194)</f>
        <v>244000</v>
      </c>
      <c r="E189" s="32">
        <f>SUM(E190:E194)</f>
        <v>0</v>
      </c>
      <c r="F189" s="32">
        <f aca="true" t="shared" si="51" ref="F189:M189">SUM(F190:F196)</f>
        <v>244000</v>
      </c>
      <c r="G189" s="32">
        <f t="shared" si="51"/>
        <v>0</v>
      </c>
      <c r="H189" s="32">
        <f t="shared" si="51"/>
        <v>244000</v>
      </c>
      <c r="I189" s="32">
        <f t="shared" si="51"/>
        <v>244000</v>
      </c>
      <c r="J189" s="32">
        <f t="shared" si="51"/>
        <v>0</v>
      </c>
      <c r="K189" s="32">
        <f t="shared" si="51"/>
        <v>0</v>
      </c>
      <c r="L189" s="32">
        <f t="shared" si="51"/>
        <v>0</v>
      </c>
      <c r="M189" s="32">
        <f t="shared" si="51"/>
        <v>0</v>
      </c>
    </row>
    <row r="190" spans="1:13" s="48" customFormat="1" ht="12.75">
      <c r="A190" s="39">
        <v>1</v>
      </c>
      <c r="B190" s="39" t="s">
        <v>196</v>
      </c>
      <c r="C190" s="33" t="s">
        <v>115</v>
      </c>
      <c r="D190" s="62">
        <v>200000</v>
      </c>
      <c r="E190" s="62"/>
      <c r="F190" s="4">
        <v>185000</v>
      </c>
      <c r="G190" s="4"/>
      <c r="H190" s="4">
        <f aca="true" t="shared" si="52" ref="H190:H196">F190+G190</f>
        <v>185000</v>
      </c>
      <c r="I190" s="4">
        <f>200000-15000</f>
        <v>185000</v>
      </c>
      <c r="J190" s="4"/>
      <c r="K190" s="4"/>
      <c r="L190" s="4"/>
      <c r="M190" s="4"/>
    </row>
    <row r="191" spans="1:13" s="48" customFormat="1" ht="12.75">
      <c r="A191" s="39">
        <v>2</v>
      </c>
      <c r="B191" s="39" t="s">
        <v>116</v>
      </c>
      <c r="C191" s="33" t="s">
        <v>117</v>
      </c>
      <c r="D191" s="59">
        <v>24000</v>
      </c>
      <c r="E191" s="59"/>
      <c r="F191" s="4">
        <f>D191+E191</f>
        <v>24000</v>
      </c>
      <c r="G191" s="4"/>
      <c r="H191" s="4">
        <f t="shared" si="52"/>
        <v>24000</v>
      </c>
      <c r="I191" s="4">
        <v>24000</v>
      </c>
      <c r="J191" s="4"/>
      <c r="K191" s="4"/>
      <c r="L191" s="4"/>
      <c r="M191" s="4"/>
    </row>
    <row r="192" spans="1:13" s="48" customFormat="1" ht="12.75">
      <c r="A192" s="39">
        <v>3</v>
      </c>
      <c r="B192" s="39" t="s">
        <v>116</v>
      </c>
      <c r="C192" s="33" t="s">
        <v>118</v>
      </c>
      <c r="D192" s="59">
        <v>10000</v>
      </c>
      <c r="E192" s="59"/>
      <c r="F192" s="4">
        <v>0</v>
      </c>
      <c r="G192" s="4"/>
      <c r="H192" s="4">
        <f t="shared" si="52"/>
        <v>0</v>
      </c>
      <c r="I192" s="4">
        <v>0</v>
      </c>
      <c r="J192" s="4"/>
      <c r="K192" s="4"/>
      <c r="L192" s="4"/>
      <c r="M192" s="4"/>
    </row>
    <row r="193" spans="1:13" s="48" customFormat="1" ht="12.75">
      <c r="A193" s="39">
        <v>4</v>
      </c>
      <c r="B193" s="39" t="s">
        <v>116</v>
      </c>
      <c r="C193" s="33" t="s">
        <v>119</v>
      </c>
      <c r="D193" s="8">
        <v>7000</v>
      </c>
      <c r="E193" s="8"/>
      <c r="F193" s="4">
        <v>0</v>
      </c>
      <c r="G193" s="4"/>
      <c r="H193" s="4">
        <f t="shared" si="52"/>
        <v>0</v>
      </c>
      <c r="I193" s="4">
        <v>0</v>
      </c>
      <c r="J193" s="4"/>
      <c r="K193" s="4"/>
      <c r="L193" s="4"/>
      <c r="M193" s="4"/>
    </row>
    <row r="194" spans="1:13" s="48" customFormat="1" ht="12.75">
      <c r="A194" s="39">
        <v>5</v>
      </c>
      <c r="B194" s="39" t="s">
        <v>116</v>
      </c>
      <c r="C194" s="14" t="s">
        <v>120</v>
      </c>
      <c r="D194" s="8">
        <v>3000</v>
      </c>
      <c r="E194" s="8"/>
      <c r="F194" s="4">
        <v>0</v>
      </c>
      <c r="G194" s="4"/>
      <c r="H194" s="4">
        <f t="shared" si="52"/>
        <v>0</v>
      </c>
      <c r="I194" s="4">
        <v>0</v>
      </c>
      <c r="J194" s="4"/>
      <c r="K194" s="4"/>
      <c r="L194" s="4"/>
      <c r="M194" s="4"/>
    </row>
    <row r="195" spans="1:13" s="48" customFormat="1" ht="12.75">
      <c r="A195" s="39">
        <v>6</v>
      </c>
      <c r="B195" s="39" t="s">
        <v>116</v>
      </c>
      <c r="C195" s="14" t="s">
        <v>234</v>
      </c>
      <c r="D195" s="8"/>
      <c r="E195" s="8"/>
      <c r="F195" s="4">
        <v>20000</v>
      </c>
      <c r="G195" s="4"/>
      <c r="H195" s="4">
        <f t="shared" si="52"/>
        <v>20000</v>
      </c>
      <c r="I195" s="4">
        <v>20000</v>
      </c>
      <c r="J195" s="4"/>
      <c r="K195" s="4"/>
      <c r="L195" s="4"/>
      <c r="M195" s="4"/>
    </row>
    <row r="196" spans="1:13" s="48" customFormat="1" ht="12.75">
      <c r="A196" s="39">
        <v>7</v>
      </c>
      <c r="B196" s="39" t="s">
        <v>116</v>
      </c>
      <c r="C196" s="14" t="s">
        <v>257</v>
      </c>
      <c r="D196" s="8"/>
      <c r="E196" s="8"/>
      <c r="F196" s="4">
        <v>15000</v>
      </c>
      <c r="G196" s="4"/>
      <c r="H196" s="4">
        <f t="shared" si="52"/>
        <v>15000</v>
      </c>
      <c r="I196" s="4">
        <v>15000</v>
      </c>
      <c r="J196" s="4"/>
      <c r="K196" s="4"/>
      <c r="L196" s="4"/>
      <c r="M196" s="4"/>
    </row>
    <row r="197" spans="1:13" s="48" customFormat="1" ht="12.75">
      <c r="A197" s="13"/>
      <c r="B197" s="12" t="s">
        <v>170</v>
      </c>
      <c r="C197" s="13" t="s">
        <v>187</v>
      </c>
      <c r="D197" s="32">
        <f>SUM(D198:D225)</f>
        <v>2626000</v>
      </c>
      <c r="E197" s="32">
        <f>SUM(E198:E225)</f>
        <v>3844000</v>
      </c>
      <c r="F197" s="32">
        <f aca="true" t="shared" si="53" ref="F197:M197">SUM(F198:F240)</f>
        <v>6275000</v>
      </c>
      <c r="G197" s="32">
        <f t="shared" si="53"/>
        <v>0</v>
      </c>
      <c r="H197" s="32">
        <f t="shared" si="53"/>
        <v>6275000</v>
      </c>
      <c r="I197" s="32">
        <f t="shared" si="53"/>
        <v>5890000</v>
      </c>
      <c r="J197" s="32">
        <f t="shared" si="53"/>
        <v>0</v>
      </c>
      <c r="K197" s="32">
        <f t="shared" si="53"/>
        <v>0</v>
      </c>
      <c r="L197" s="32">
        <f t="shared" si="53"/>
        <v>385000</v>
      </c>
      <c r="M197" s="32">
        <f t="shared" si="53"/>
        <v>0</v>
      </c>
    </row>
    <row r="198" spans="1:13" s="48" customFormat="1" ht="12.75">
      <c r="A198" s="39">
        <v>1</v>
      </c>
      <c r="B198" s="39" t="s">
        <v>121</v>
      </c>
      <c r="C198" s="34" t="s">
        <v>122</v>
      </c>
      <c r="D198" s="35">
        <v>1179000</v>
      </c>
      <c r="E198" s="35"/>
      <c r="F198" s="4">
        <f>D198+E198</f>
        <v>1179000</v>
      </c>
      <c r="G198" s="4"/>
      <c r="H198" s="4">
        <f aca="true" t="shared" si="54" ref="H198:H240">F198+G198</f>
        <v>1179000</v>
      </c>
      <c r="I198" s="4">
        <v>1179000</v>
      </c>
      <c r="J198" s="4"/>
      <c r="K198" s="4"/>
      <c r="L198" s="4"/>
      <c r="M198" s="4"/>
    </row>
    <row r="199" spans="1:13" s="48" customFormat="1" ht="12.75">
      <c r="A199" s="39">
        <v>2</v>
      </c>
      <c r="B199" s="39" t="s">
        <v>28</v>
      </c>
      <c r="C199" s="34" t="s">
        <v>195</v>
      </c>
      <c r="D199" s="35">
        <v>30000</v>
      </c>
      <c r="E199" s="35"/>
      <c r="F199" s="4">
        <v>29200</v>
      </c>
      <c r="G199" s="4"/>
      <c r="H199" s="4">
        <f t="shared" si="54"/>
        <v>29200</v>
      </c>
      <c r="I199" s="4">
        <v>29200</v>
      </c>
      <c r="J199" s="4"/>
      <c r="K199" s="4"/>
      <c r="L199" s="4"/>
      <c r="M199" s="4"/>
    </row>
    <row r="200" spans="1:13" s="48" customFormat="1" ht="12.75">
      <c r="A200" s="39">
        <v>3</v>
      </c>
      <c r="B200" s="39" t="s">
        <v>28</v>
      </c>
      <c r="C200" s="3" t="s">
        <v>240</v>
      </c>
      <c r="D200" s="4">
        <f>15000+22000</f>
        <v>37000</v>
      </c>
      <c r="E200" s="4"/>
      <c r="F200" s="4">
        <f>D200+E200</f>
        <v>37000</v>
      </c>
      <c r="G200" s="4"/>
      <c r="H200" s="4">
        <f t="shared" si="54"/>
        <v>37000</v>
      </c>
      <c r="I200" s="4">
        <v>37000</v>
      </c>
      <c r="J200" s="4"/>
      <c r="K200" s="4"/>
      <c r="L200" s="4"/>
      <c r="M200" s="4"/>
    </row>
    <row r="201" spans="1:13" s="48" customFormat="1" ht="12.75">
      <c r="A201" s="39">
        <v>4</v>
      </c>
      <c r="B201" s="39" t="s">
        <v>28</v>
      </c>
      <c r="C201" s="34" t="s">
        <v>123</v>
      </c>
      <c r="D201" s="35">
        <v>25000</v>
      </c>
      <c r="E201" s="35"/>
      <c r="F201" s="4">
        <f>D201+E201</f>
        <v>25000</v>
      </c>
      <c r="G201" s="4"/>
      <c r="H201" s="4">
        <f t="shared" si="54"/>
        <v>25000</v>
      </c>
      <c r="I201" s="4">
        <v>25000</v>
      </c>
      <c r="J201" s="4"/>
      <c r="K201" s="4"/>
      <c r="L201" s="4"/>
      <c r="M201" s="4"/>
    </row>
    <row r="202" spans="1:13" s="48" customFormat="1" ht="12.75">
      <c r="A202" s="39">
        <v>5</v>
      </c>
      <c r="B202" s="39" t="s">
        <v>28</v>
      </c>
      <c r="C202" s="34" t="s">
        <v>124</v>
      </c>
      <c r="D202" s="35">
        <f>52000-22000</f>
        <v>30000</v>
      </c>
      <c r="E202" s="35"/>
      <c r="F202" s="4">
        <v>29700</v>
      </c>
      <c r="G202" s="4"/>
      <c r="H202" s="4">
        <f t="shared" si="54"/>
        <v>29700</v>
      </c>
      <c r="I202" s="4">
        <v>29700</v>
      </c>
      <c r="J202" s="4"/>
      <c r="K202" s="4"/>
      <c r="L202" s="4"/>
      <c r="M202" s="4"/>
    </row>
    <row r="203" spans="1:13" s="48" customFormat="1" ht="12.75">
      <c r="A203" s="39">
        <v>6</v>
      </c>
      <c r="B203" s="39" t="s">
        <v>28</v>
      </c>
      <c r="C203" s="34" t="s">
        <v>125</v>
      </c>
      <c r="D203" s="35">
        <v>220000</v>
      </c>
      <c r="E203" s="35">
        <v>650000</v>
      </c>
      <c r="F203" s="4">
        <v>206000</v>
      </c>
      <c r="G203" s="4"/>
      <c r="H203" s="4">
        <f t="shared" si="54"/>
        <v>206000</v>
      </c>
      <c r="I203" s="4">
        <f>253000-47000</f>
        <v>206000</v>
      </c>
      <c r="J203" s="4"/>
      <c r="K203" s="4"/>
      <c r="L203" s="4"/>
      <c r="M203" s="4"/>
    </row>
    <row r="204" spans="1:13" s="48" customFormat="1" ht="12.75">
      <c r="A204" s="39">
        <v>7</v>
      </c>
      <c r="B204" s="39" t="s">
        <v>28</v>
      </c>
      <c r="C204" s="34" t="s">
        <v>251</v>
      </c>
      <c r="D204" s="35">
        <v>5000</v>
      </c>
      <c r="E204" s="35"/>
      <c r="F204" s="4">
        <v>4400</v>
      </c>
      <c r="G204" s="4"/>
      <c r="H204" s="4">
        <f t="shared" si="54"/>
        <v>4400</v>
      </c>
      <c r="I204" s="4">
        <f>5000-600</f>
        <v>4400</v>
      </c>
      <c r="J204" s="4"/>
      <c r="K204" s="4"/>
      <c r="L204" s="4"/>
      <c r="M204" s="4"/>
    </row>
    <row r="205" spans="1:13" s="48" customFormat="1" ht="12.75">
      <c r="A205" s="39">
        <v>8</v>
      </c>
      <c r="B205" s="39" t="s">
        <v>28</v>
      </c>
      <c r="C205" s="3" t="s">
        <v>166</v>
      </c>
      <c r="D205" s="4">
        <v>60000</v>
      </c>
      <c r="E205" s="4"/>
      <c r="F205" s="4">
        <v>52400</v>
      </c>
      <c r="G205" s="4"/>
      <c r="H205" s="4">
        <f t="shared" si="54"/>
        <v>52400</v>
      </c>
      <c r="I205" s="4">
        <f>60000-7600</f>
        <v>52400</v>
      </c>
      <c r="J205" s="4"/>
      <c r="K205" s="4"/>
      <c r="L205" s="4"/>
      <c r="M205" s="4"/>
    </row>
    <row r="206" spans="1:13" s="48" customFormat="1" ht="12.75">
      <c r="A206" s="39">
        <v>9</v>
      </c>
      <c r="B206" s="39" t="s">
        <v>28</v>
      </c>
      <c r="C206" s="34" t="s">
        <v>126</v>
      </c>
      <c r="D206" s="35">
        <v>18000</v>
      </c>
      <c r="E206" s="35"/>
      <c r="F206" s="4">
        <v>17700</v>
      </c>
      <c r="G206" s="4"/>
      <c r="H206" s="4">
        <f t="shared" si="54"/>
        <v>17700</v>
      </c>
      <c r="I206" s="4">
        <f>18000-300</f>
        <v>17700</v>
      </c>
      <c r="J206" s="4"/>
      <c r="K206" s="4"/>
      <c r="L206" s="4"/>
      <c r="M206" s="4"/>
    </row>
    <row r="207" spans="1:13" s="48" customFormat="1" ht="12.75">
      <c r="A207" s="39">
        <v>10</v>
      </c>
      <c r="B207" s="39" t="s">
        <v>28</v>
      </c>
      <c r="C207" s="34" t="s">
        <v>127</v>
      </c>
      <c r="D207" s="35">
        <v>8000</v>
      </c>
      <c r="E207" s="35"/>
      <c r="F207" s="4">
        <v>7900</v>
      </c>
      <c r="G207" s="4"/>
      <c r="H207" s="4">
        <f t="shared" si="54"/>
        <v>7900</v>
      </c>
      <c r="I207" s="4">
        <f>8000-100</f>
        <v>7900</v>
      </c>
      <c r="J207" s="4"/>
      <c r="K207" s="4"/>
      <c r="L207" s="4"/>
      <c r="M207" s="4"/>
    </row>
    <row r="208" spans="1:13" s="48" customFormat="1" ht="12.75">
      <c r="A208" s="39">
        <v>11</v>
      </c>
      <c r="B208" s="39" t="s">
        <v>28</v>
      </c>
      <c r="C208" s="34" t="s">
        <v>128</v>
      </c>
      <c r="D208" s="35">
        <v>2000</v>
      </c>
      <c r="E208" s="35"/>
      <c r="F208" s="4">
        <f>D208+E208</f>
        <v>2000</v>
      </c>
      <c r="G208" s="4"/>
      <c r="H208" s="4">
        <f t="shared" si="54"/>
        <v>2000</v>
      </c>
      <c r="I208" s="4">
        <v>2000</v>
      </c>
      <c r="J208" s="4"/>
      <c r="K208" s="4"/>
      <c r="L208" s="4"/>
      <c r="M208" s="4"/>
    </row>
    <row r="209" spans="1:13" s="48" customFormat="1" ht="12.75">
      <c r="A209" s="39">
        <v>12</v>
      </c>
      <c r="B209" s="39" t="s">
        <v>28</v>
      </c>
      <c r="C209" s="34" t="s">
        <v>129</v>
      </c>
      <c r="D209" s="35">
        <v>6000</v>
      </c>
      <c r="E209" s="35"/>
      <c r="F209" s="4">
        <v>5800</v>
      </c>
      <c r="G209" s="4"/>
      <c r="H209" s="4">
        <f t="shared" si="54"/>
        <v>5800</v>
      </c>
      <c r="I209" s="4">
        <f>6000-200</f>
        <v>5800</v>
      </c>
      <c r="J209" s="4"/>
      <c r="K209" s="4"/>
      <c r="L209" s="4"/>
      <c r="M209" s="4"/>
    </row>
    <row r="210" spans="1:13" s="48" customFormat="1" ht="12.75">
      <c r="A210" s="39">
        <v>13</v>
      </c>
      <c r="B210" s="39" t="s">
        <v>28</v>
      </c>
      <c r="C210" s="3" t="s">
        <v>130</v>
      </c>
      <c r="D210" s="4">
        <v>9000</v>
      </c>
      <c r="E210" s="4"/>
      <c r="F210" s="4">
        <v>17000</v>
      </c>
      <c r="G210" s="4"/>
      <c r="H210" s="4">
        <f t="shared" si="54"/>
        <v>17000</v>
      </c>
      <c r="I210" s="4">
        <v>17000</v>
      </c>
      <c r="J210" s="4"/>
      <c r="K210" s="4"/>
      <c r="L210" s="4"/>
      <c r="M210" s="4"/>
    </row>
    <row r="211" spans="1:13" s="48" customFormat="1" ht="12.75">
      <c r="A211" s="39">
        <v>14</v>
      </c>
      <c r="B211" s="39" t="s">
        <v>28</v>
      </c>
      <c r="C211" s="3" t="s">
        <v>226</v>
      </c>
      <c r="D211" s="4">
        <v>280000</v>
      </c>
      <c r="E211" s="4"/>
      <c r="F211" s="4">
        <v>625000</v>
      </c>
      <c r="G211" s="4"/>
      <c r="H211" s="4">
        <f t="shared" si="54"/>
        <v>625000</v>
      </c>
      <c r="I211" s="4">
        <v>625000</v>
      </c>
      <c r="J211" s="4"/>
      <c r="K211" s="4"/>
      <c r="L211" s="4"/>
      <c r="M211" s="4"/>
    </row>
    <row r="212" spans="1:13" s="48" customFormat="1" ht="12.75">
      <c r="A212" s="39">
        <v>15</v>
      </c>
      <c r="B212" s="39" t="s">
        <v>28</v>
      </c>
      <c r="C212" s="3" t="s">
        <v>197</v>
      </c>
      <c r="D212" s="4">
        <v>40000</v>
      </c>
      <c r="E212" s="4"/>
      <c r="F212" s="4">
        <v>0</v>
      </c>
      <c r="G212" s="4"/>
      <c r="H212" s="4">
        <f t="shared" si="54"/>
        <v>0</v>
      </c>
      <c r="I212" s="4">
        <v>0</v>
      </c>
      <c r="J212" s="4"/>
      <c r="K212" s="4"/>
      <c r="L212" s="4"/>
      <c r="M212" s="4"/>
    </row>
    <row r="213" spans="1:13" s="48" customFormat="1" ht="12.75">
      <c r="A213" s="39">
        <v>16</v>
      </c>
      <c r="B213" s="39" t="s">
        <v>28</v>
      </c>
      <c r="C213" s="3" t="s">
        <v>198</v>
      </c>
      <c r="D213" s="4">
        <v>90000</v>
      </c>
      <c r="E213" s="4"/>
      <c r="F213" s="4">
        <v>0</v>
      </c>
      <c r="G213" s="4"/>
      <c r="H213" s="4">
        <f t="shared" si="54"/>
        <v>0</v>
      </c>
      <c r="I213" s="4">
        <v>0</v>
      </c>
      <c r="J213" s="4"/>
      <c r="K213" s="4"/>
      <c r="L213" s="4"/>
      <c r="M213" s="4"/>
    </row>
    <row r="214" spans="1:13" s="48" customFormat="1" ht="12.75">
      <c r="A214" s="39">
        <v>17</v>
      </c>
      <c r="B214" s="39" t="s">
        <v>28</v>
      </c>
      <c r="C214" s="3" t="s">
        <v>199</v>
      </c>
      <c r="D214" s="4">
        <v>29000</v>
      </c>
      <c r="E214" s="4"/>
      <c r="F214" s="4">
        <v>28500</v>
      </c>
      <c r="G214" s="4"/>
      <c r="H214" s="4">
        <f t="shared" si="54"/>
        <v>28500</v>
      </c>
      <c r="I214" s="4">
        <f>29000-500</f>
        <v>28500</v>
      </c>
      <c r="J214" s="4"/>
      <c r="K214" s="4"/>
      <c r="L214" s="4"/>
      <c r="M214" s="4"/>
    </row>
    <row r="215" spans="1:13" s="48" customFormat="1" ht="12.75">
      <c r="A215" s="39">
        <v>18</v>
      </c>
      <c r="B215" s="39" t="s">
        <v>28</v>
      </c>
      <c r="C215" s="3" t="s">
        <v>200</v>
      </c>
      <c r="D215" s="4">
        <v>9000</v>
      </c>
      <c r="E215" s="4"/>
      <c r="F215" s="4">
        <v>7500</v>
      </c>
      <c r="G215" s="4"/>
      <c r="H215" s="4">
        <f t="shared" si="54"/>
        <v>7500</v>
      </c>
      <c r="I215" s="4">
        <f>9000-1500</f>
        <v>7500</v>
      </c>
      <c r="J215" s="4"/>
      <c r="K215" s="4"/>
      <c r="L215" s="4"/>
      <c r="M215" s="4"/>
    </row>
    <row r="216" spans="1:13" s="48" customFormat="1" ht="12.75">
      <c r="A216" s="39">
        <v>19</v>
      </c>
      <c r="B216" s="39" t="s">
        <v>28</v>
      </c>
      <c r="C216" s="3" t="s">
        <v>217</v>
      </c>
      <c r="D216" s="4">
        <v>31000</v>
      </c>
      <c r="E216" s="4"/>
      <c r="F216" s="4">
        <f>D216+E216</f>
        <v>31000</v>
      </c>
      <c r="G216" s="4"/>
      <c r="H216" s="4">
        <f t="shared" si="54"/>
        <v>31000</v>
      </c>
      <c r="I216" s="4">
        <v>31000</v>
      </c>
      <c r="J216" s="4"/>
      <c r="K216" s="4"/>
      <c r="L216" s="4"/>
      <c r="M216" s="4"/>
    </row>
    <row r="217" spans="1:13" s="48" customFormat="1" ht="12.75">
      <c r="A217" s="39">
        <v>20</v>
      </c>
      <c r="B217" s="39" t="s">
        <v>28</v>
      </c>
      <c r="C217" s="3" t="s">
        <v>264</v>
      </c>
      <c r="D217" s="4">
        <v>3000</v>
      </c>
      <c r="E217" s="4"/>
      <c r="F217" s="4">
        <v>20000</v>
      </c>
      <c r="G217" s="4"/>
      <c r="H217" s="4">
        <f t="shared" si="54"/>
        <v>20000</v>
      </c>
      <c r="I217" s="4">
        <v>20000</v>
      </c>
      <c r="J217" s="4"/>
      <c r="K217" s="4"/>
      <c r="L217" s="4"/>
      <c r="M217" s="4"/>
    </row>
    <row r="218" spans="1:13" s="48" customFormat="1" ht="12.75">
      <c r="A218" s="39">
        <v>21</v>
      </c>
      <c r="B218" s="39" t="s">
        <v>134</v>
      </c>
      <c r="C218" s="3" t="s">
        <v>201</v>
      </c>
      <c r="D218" s="4">
        <v>100000</v>
      </c>
      <c r="E218" s="4">
        <v>300000</v>
      </c>
      <c r="F218" s="4">
        <v>99100</v>
      </c>
      <c r="G218" s="4"/>
      <c r="H218" s="4">
        <f t="shared" si="54"/>
        <v>99100</v>
      </c>
      <c r="I218" s="4">
        <f>400000-300900</f>
        <v>99100</v>
      </c>
      <c r="J218" s="4"/>
      <c r="K218" s="4"/>
      <c r="L218" s="4"/>
      <c r="M218" s="4"/>
    </row>
    <row r="219" spans="1:13" s="48" customFormat="1" ht="12.75">
      <c r="A219" s="39">
        <v>22</v>
      </c>
      <c r="B219" s="39" t="s">
        <v>28</v>
      </c>
      <c r="C219" s="3" t="s">
        <v>202</v>
      </c>
      <c r="D219" s="4">
        <v>250000</v>
      </c>
      <c r="E219" s="4"/>
      <c r="F219" s="4">
        <f>D219+E219</f>
        <v>250000</v>
      </c>
      <c r="G219" s="4"/>
      <c r="H219" s="4">
        <f t="shared" si="54"/>
        <v>250000</v>
      </c>
      <c r="I219" s="4"/>
      <c r="J219" s="4"/>
      <c r="K219" s="4"/>
      <c r="L219" s="4">
        <v>250000</v>
      </c>
      <c r="M219" s="4"/>
    </row>
    <row r="220" spans="1:13" s="48" customFormat="1" ht="12.75">
      <c r="A220" s="39">
        <v>23</v>
      </c>
      <c r="B220" s="39" t="s">
        <v>28</v>
      </c>
      <c r="C220" s="3" t="s">
        <v>209</v>
      </c>
      <c r="D220" s="4">
        <v>80000</v>
      </c>
      <c r="E220" s="4"/>
      <c r="F220" s="4">
        <f>D220+E220</f>
        <v>80000</v>
      </c>
      <c r="G220" s="4"/>
      <c r="H220" s="4">
        <f t="shared" si="54"/>
        <v>80000</v>
      </c>
      <c r="I220" s="4"/>
      <c r="J220" s="4"/>
      <c r="K220" s="4"/>
      <c r="L220" s="4">
        <v>80000</v>
      </c>
      <c r="M220" s="4"/>
    </row>
    <row r="221" spans="1:13" s="48" customFormat="1" ht="12.75">
      <c r="A221" s="39">
        <v>24</v>
      </c>
      <c r="B221" s="39" t="s">
        <v>28</v>
      </c>
      <c r="C221" s="3" t="s">
        <v>203</v>
      </c>
      <c r="D221" s="4">
        <v>55000</v>
      </c>
      <c r="E221" s="4"/>
      <c r="F221" s="4">
        <f>D221+E221</f>
        <v>55000</v>
      </c>
      <c r="G221" s="4"/>
      <c r="H221" s="4">
        <f t="shared" si="54"/>
        <v>55000</v>
      </c>
      <c r="I221" s="4"/>
      <c r="J221" s="4"/>
      <c r="K221" s="4"/>
      <c r="L221" s="4">
        <v>55000</v>
      </c>
      <c r="M221" s="4"/>
    </row>
    <row r="222" spans="1:13" s="48" customFormat="1" ht="12.75">
      <c r="A222" s="39">
        <v>25</v>
      </c>
      <c r="B222" s="39" t="s">
        <v>28</v>
      </c>
      <c r="C222" s="3" t="s">
        <v>211</v>
      </c>
      <c r="D222" s="4">
        <v>30000</v>
      </c>
      <c r="E222" s="4"/>
      <c r="F222" s="4">
        <f>D222+E222</f>
        <v>30000</v>
      </c>
      <c r="G222" s="4"/>
      <c r="H222" s="4">
        <f t="shared" si="54"/>
        <v>30000</v>
      </c>
      <c r="I222" s="4">
        <v>30000</v>
      </c>
      <c r="J222" s="4"/>
      <c r="K222" s="4"/>
      <c r="L222" s="4"/>
      <c r="M222" s="4"/>
    </row>
    <row r="223" spans="1:13" s="48" customFormat="1" ht="12.75">
      <c r="A223" s="39">
        <v>26</v>
      </c>
      <c r="B223" s="39" t="s">
        <v>28</v>
      </c>
      <c r="C223" s="3" t="s">
        <v>213</v>
      </c>
      <c r="D223" s="4"/>
      <c r="E223" s="4">
        <v>920000</v>
      </c>
      <c r="F223" s="4">
        <f>D223+E223</f>
        <v>920000</v>
      </c>
      <c r="G223" s="4"/>
      <c r="H223" s="4">
        <f t="shared" si="54"/>
        <v>920000</v>
      </c>
      <c r="I223" s="4">
        <v>920000</v>
      </c>
      <c r="J223" s="4"/>
      <c r="K223" s="4"/>
      <c r="L223" s="4"/>
      <c r="M223" s="4"/>
    </row>
    <row r="224" spans="1:13" s="48" customFormat="1" ht="12.75">
      <c r="A224" s="39">
        <v>27</v>
      </c>
      <c r="B224" s="39" t="s">
        <v>28</v>
      </c>
      <c r="C224" s="3" t="s">
        <v>214</v>
      </c>
      <c r="D224" s="4"/>
      <c r="E224" s="4">
        <v>300000</v>
      </c>
      <c r="F224" s="4">
        <v>298900</v>
      </c>
      <c r="G224" s="4"/>
      <c r="H224" s="4">
        <f t="shared" si="54"/>
        <v>298900</v>
      </c>
      <c r="I224" s="4">
        <f>300000-1100</f>
        <v>298900</v>
      </c>
      <c r="J224" s="4"/>
      <c r="K224" s="4"/>
      <c r="L224" s="4"/>
      <c r="M224" s="4"/>
    </row>
    <row r="225" spans="1:13" s="48" customFormat="1" ht="12.75">
      <c r="A225" s="39">
        <v>28</v>
      </c>
      <c r="B225" s="39" t="s">
        <v>28</v>
      </c>
      <c r="C225" s="3" t="s">
        <v>215</v>
      </c>
      <c r="D225" s="4"/>
      <c r="E225" s="4">
        <v>1674000</v>
      </c>
      <c r="F225" s="4">
        <f>D225+E225</f>
        <v>1674000</v>
      </c>
      <c r="G225" s="4"/>
      <c r="H225" s="4">
        <f t="shared" si="54"/>
        <v>1674000</v>
      </c>
      <c r="I225" s="4">
        <v>1674000</v>
      </c>
      <c r="J225" s="4"/>
      <c r="K225" s="4"/>
      <c r="L225" s="4"/>
      <c r="M225" s="4"/>
    </row>
    <row r="226" spans="1:13" s="48" customFormat="1" ht="12.75">
      <c r="A226" s="39">
        <v>29</v>
      </c>
      <c r="B226" s="39" t="s">
        <v>28</v>
      </c>
      <c r="C226" s="14" t="s">
        <v>218</v>
      </c>
      <c r="D226" s="39"/>
      <c r="E226" s="39"/>
      <c r="F226" s="39">
        <v>188500</v>
      </c>
      <c r="G226" s="8"/>
      <c r="H226" s="4">
        <f t="shared" si="54"/>
        <v>188500</v>
      </c>
      <c r="I226" s="4">
        <f>189000-500</f>
        <v>188500</v>
      </c>
      <c r="J226" s="4"/>
      <c r="K226" s="4"/>
      <c r="L226" s="39"/>
      <c r="M226" s="39"/>
    </row>
    <row r="227" spans="1:13" s="48" customFormat="1" ht="12.75">
      <c r="A227" s="39">
        <v>30</v>
      </c>
      <c r="B227" s="39" t="s">
        <v>28</v>
      </c>
      <c r="C227" s="14" t="s">
        <v>219</v>
      </c>
      <c r="D227" s="39"/>
      <c r="E227" s="39"/>
      <c r="F227" s="39">
        <v>32000</v>
      </c>
      <c r="G227" s="8"/>
      <c r="H227" s="4">
        <f t="shared" si="54"/>
        <v>32000</v>
      </c>
      <c r="I227" s="4">
        <v>32000</v>
      </c>
      <c r="J227" s="4"/>
      <c r="K227" s="4"/>
      <c r="L227" s="39"/>
      <c r="M227" s="39"/>
    </row>
    <row r="228" spans="1:13" s="48" customFormat="1" ht="12.75">
      <c r="A228" s="39">
        <v>31</v>
      </c>
      <c r="B228" s="39" t="s">
        <v>28</v>
      </c>
      <c r="C228" s="14" t="s">
        <v>220</v>
      </c>
      <c r="D228" s="39"/>
      <c r="E228" s="39"/>
      <c r="F228" s="39">
        <v>24000</v>
      </c>
      <c r="G228" s="8"/>
      <c r="H228" s="4">
        <f t="shared" si="54"/>
        <v>24000</v>
      </c>
      <c r="I228" s="4">
        <v>24000</v>
      </c>
      <c r="J228" s="4"/>
      <c r="K228" s="4"/>
      <c r="L228" s="39"/>
      <c r="M228" s="39"/>
    </row>
    <row r="229" spans="1:13" s="48" customFormat="1" ht="12.75">
      <c r="A229" s="39">
        <v>32</v>
      </c>
      <c r="B229" s="39" t="s">
        <v>28</v>
      </c>
      <c r="C229" s="14" t="s">
        <v>221</v>
      </c>
      <c r="D229" s="39"/>
      <c r="E229" s="39"/>
      <c r="F229" s="39">
        <v>59200</v>
      </c>
      <c r="G229" s="8"/>
      <c r="H229" s="8">
        <f t="shared" si="54"/>
        <v>59200</v>
      </c>
      <c r="I229" s="8">
        <f>63000-3800</f>
        <v>59200</v>
      </c>
      <c r="J229" s="8"/>
      <c r="K229" s="8"/>
      <c r="L229" s="39"/>
      <c r="M229" s="39"/>
    </row>
    <row r="230" spans="1:13" s="48" customFormat="1" ht="12.75">
      <c r="A230" s="39">
        <v>33</v>
      </c>
      <c r="B230" s="39" t="s">
        <v>28</v>
      </c>
      <c r="C230" s="14" t="s">
        <v>222</v>
      </c>
      <c r="D230" s="39"/>
      <c r="E230" s="39"/>
      <c r="F230" s="39">
        <v>19200</v>
      </c>
      <c r="G230" s="8"/>
      <c r="H230" s="8">
        <f t="shared" si="54"/>
        <v>19200</v>
      </c>
      <c r="I230" s="8">
        <f>27000-7800</f>
        <v>19200</v>
      </c>
      <c r="J230" s="8"/>
      <c r="K230" s="8"/>
      <c r="L230" s="39"/>
      <c r="M230" s="39"/>
    </row>
    <row r="231" spans="1:13" s="48" customFormat="1" ht="12.75">
      <c r="A231" s="39">
        <v>34</v>
      </c>
      <c r="B231" s="39" t="s">
        <v>28</v>
      </c>
      <c r="C231" s="14" t="s">
        <v>223</v>
      </c>
      <c r="D231" s="39"/>
      <c r="E231" s="39"/>
      <c r="F231" s="39">
        <v>8000</v>
      </c>
      <c r="G231" s="8"/>
      <c r="H231" s="8">
        <f t="shared" si="54"/>
        <v>8000</v>
      </c>
      <c r="I231" s="8">
        <v>8000</v>
      </c>
      <c r="J231" s="8"/>
      <c r="K231" s="8"/>
      <c r="L231" s="39"/>
      <c r="M231" s="39"/>
    </row>
    <row r="232" spans="1:13" s="48" customFormat="1" ht="12.75">
      <c r="A232" s="39">
        <v>35</v>
      </c>
      <c r="B232" s="39" t="s">
        <v>28</v>
      </c>
      <c r="C232" s="14" t="s">
        <v>224</v>
      </c>
      <c r="D232" s="39"/>
      <c r="E232" s="39"/>
      <c r="F232" s="39">
        <v>8600</v>
      </c>
      <c r="G232" s="8"/>
      <c r="H232" s="8">
        <f t="shared" si="54"/>
        <v>8600</v>
      </c>
      <c r="I232" s="8">
        <f>4000+4600</f>
        <v>8600</v>
      </c>
      <c r="J232" s="8"/>
      <c r="K232" s="8"/>
      <c r="L232" s="39"/>
      <c r="M232" s="39"/>
    </row>
    <row r="233" spans="1:13" s="48" customFormat="1" ht="12.75">
      <c r="A233" s="39">
        <v>36</v>
      </c>
      <c r="B233" s="39" t="s">
        <v>28</v>
      </c>
      <c r="C233" s="14" t="s">
        <v>225</v>
      </c>
      <c r="D233" s="39"/>
      <c r="E233" s="39"/>
      <c r="F233" s="39">
        <v>30000</v>
      </c>
      <c r="G233" s="8"/>
      <c r="H233" s="8">
        <f t="shared" si="54"/>
        <v>30000</v>
      </c>
      <c r="I233" s="8">
        <v>30000</v>
      </c>
      <c r="J233" s="8"/>
      <c r="K233" s="8"/>
      <c r="L233" s="39"/>
      <c r="M233" s="39"/>
    </row>
    <row r="234" spans="1:13" s="48" customFormat="1" ht="12.75">
      <c r="A234" s="39">
        <v>37</v>
      </c>
      <c r="B234" s="39" t="s">
        <v>28</v>
      </c>
      <c r="C234" s="14" t="s">
        <v>241</v>
      </c>
      <c r="D234" s="39"/>
      <c r="E234" s="39"/>
      <c r="F234" s="39">
        <v>3000</v>
      </c>
      <c r="G234" s="8"/>
      <c r="H234" s="8">
        <f t="shared" si="54"/>
        <v>3000</v>
      </c>
      <c r="I234" s="8">
        <v>3000</v>
      </c>
      <c r="J234" s="8"/>
      <c r="K234" s="8"/>
      <c r="L234" s="39"/>
      <c r="M234" s="39"/>
    </row>
    <row r="235" spans="1:13" s="48" customFormat="1" ht="12.75">
      <c r="A235" s="39">
        <v>38</v>
      </c>
      <c r="B235" s="39" t="s">
        <v>28</v>
      </c>
      <c r="C235" s="14" t="s">
        <v>242</v>
      </c>
      <c r="D235" s="39"/>
      <c r="E235" s="39"/>
      <c r="F235" s="39">
        <v>20200</v>
      </c>
      <c r="G235" s="8"/>
      <c r="H235" s="8">
        <f t="shared" si="54"/>
        <v>20200</v>
      </c>
      <c r="I235" s="8">
        <v>20200</v>
      </c>
      <c r="J235" s="8"/>
      <c r="K235" s="8"/>
      <c r="L235" s="39"/>
      <c r="M235" s="39"/>
    </row>
    <row r="236" spans="1:13" s="48" customFormat="1" ht="12.75">
      <c r="A236" s="39">
        <v>39</v>
      </c>
      <c r="B236" s="39" t="s">
        <v>28</v>
      </c>
      <c r="C236" s="14" t="s">
        <v>243</v>
      </c>
      <c r="D236" s="39"/>
      <c r="E236" s="39"/>
      <c r="F236" s="39">
        <v>20200</v>
      </c>
      <c r="G236" s="8"/>
      <c r="H236" s="8">
        <f t="shared" si="54"/>
        <v>20200</v>
      </c>
      <c r="I236" s="8">
        <v>20200</v>
      </c>
      <c r="J236" s="8"/>
      <c r="K236" s="8"/>
      <c r="L236" s="39"/>
      <c r="M236" s="39"/>
    </row>
    <row r="237" spans="1:13" s="48" customFormat="1" ht="12.75">
      <c r="A237" s="39">
        <v>40</v>
      </c>
      <c r="B237" s="39" t="s">
        <v>28</v>
      </c>
      <c r="C237" s="14" t="s">
        <v>258</v>
      </c>
      <c r="D237" s="39"/>
      <c r="E237" s="39"/>
      <c r="F237" s="39">
        <v>45000</v>
      </c>
      <c r="G237" s="8"/>
      <c r="H237" s="8">
        <f t="shared" si="54"/>
        <v>45000</v>
      </c>
      <c r="I237" s="8">
        <v>45000</v>
      </c>
      <c r="J237" s="8"/>
      <c r="K237" s="8"/>
      <c r="L237" s="39"/>
      <c r="M237" s="39"/>
    </row>
    <row r="238" spans="1:13" s="48" customFormat="1" ht="12.75">
      <c r="A238" s="39">
        <v>41</v>
      </c>
      <c r="B238" s="39" t="s">
        <v>28</v>
      </c>
      <c r="C238" s="14" t="s">
        <v>259</v>
      </c>
      <c r="D238" s="39"/>
      <c r="E238" s="39"/>
      <c r="F238" s="39">
        <v>45000</v>
      </c>
      <c r="G238" s="8"/>
      <c r="H238" s="8">
        <f t="shared" si="54"/>
        <v>45000</v>
      </c>
      <c r="I238" s="8">
        <v>45000</v>
      </c>
      <c r="J238" s="8"/>
      <c r="K238" s="8"/>
      <c r="L238" s="39"/>
      <c r="M238" s="39"/>
    </row>
    <row r="239" spans="1:13" s="48" customFormat="1" ht="12.75">
      <c r="A239" s="39">
        <v>42</v>
      </c>
      <c r="B239" s="39" t="s">
        <v>28</v>
      </c>
      <c r="C239" s="14" t="s">
        <v>260</v>
      </c>
      <c r="D239" s="39"/>
      <c r="E239" s="39"/>
      <c r="F239" s="39">
        <v>25000</v>
      </c>
      <c r="G239" s="8"/>
      <c r="H239" s="8">
        <f t="shared" si="54"/>
        <v>25000</v>
      </c>
      <c r="I239" s="8">
        <v>25000</v>
      </c>
      <c r="J239" s="8"/>
      <c r="K239" s="8"/>
      <c r="L239" s="39"/>
      <c r="M239" s="39"/>
    </row>
    <row r="240" spans="1:13" s="48" customFormat="1" ht="12.75">
      <c r="A240" s="39">
        <v>43</v>
      </c>
      <c r="B240" s="39" t="s">
        <v>28</v>
      </c>
      <c r="C240" s="14" t="s">
        <v>261</v>
      </c>
      <c r="D240" s="39"/>
      <c r="E240" s="39"/>
      <c r="F240" s="39">
        <v>15000</v>
      </c>
      <c r="G240" s="8"/>
      <c r="H240" s="8">
        <f t="shared" si="54"/>
        <v>15000</v>
      </c>
      <c r="I240" s="8">
        <v>15000</v>
      </c>
      <c r="J240" s="8"/>
      <c r="K240" s="8"/>
      <c r="L240" s="39"/>
      <c r="M240" s="39"/>
    </row>
    <row r="241" spans="1:13" s="48" customFormat="1" ht="12.75">
      <c r="A241" s="45"/>
      <c r="B241" s="45"/>
      <c r="C241" s="46"/>
      <c r="D241" s="45"/>
      <c r="E241" s="45"/>
      <c r="F241" s="45"/>
      <c r="G241" s="45"/>
      <c r="H241" s="45"/>
      <c r="I241" s="45"/>
      <c r="J241" s="45"/>
      <c r="K241" s="45"/>
      <c r="L241" s="45"/>
      <c r="M241" s="45"/>
    </row>
    <row r="242" spans="1:13" s="48" customFormat="1" ht="12.75">
      <c r="A242" s="45"/>
      <c r="B242" s="45"/>
      <c r="C242" s="46"/>
      <c r="D242" s="45"/>
      <c r="E242" s="45"/>
      <c r="F242" s="38"/>
      <c r="G242" s="38"/>
      <c r="H242" s="38"/>
      <c r="I242" s="38"/>
      <c r="J242" s="38"/>
      <c r="K242" s="38"/>
      <c r="L242" s="38"/>
      <c r="M242" s="38"/>
    </row>
    <row r="243" spans="1:13" s="48" customFormat="1" ht="12.75">
      <c r="A243" s="45"/>
      <c r="B243" s="45"/>
      <c r="C243" s="46"/>
      <c r="D243" s="45"/>
      <c r="E243" s="45"/>
      <c r="F243" s="45"/>
      <c r="G243" s="45"/>
      <c r="H243" s="45"/>
      <c r="I243" s="45"/>
      <c r="J243" s="45"/>
      <c r="K243" s="45"/>
      <c r="L243" s="45"/>
      <c r="M243" s="45"/>
    </row>
    <row r="244" spans="1:13" s="48" customFormat="1" ht="12.75">
      <c r="A244" s="45"/>
      <c r="B244" s="45"/>
      <c r="C244" s="46"/>
      <c r="D244" s="45"/>
      <c r="E244" s="45"/>
      <c r="F244" s="45"/>
      <c r="G244" s="45"/>
      <c r="H244" s="45"/>
      <c r="I244" s="45"/>
      <c r="J244" s="45"/>
      <c r="K244" s="45"/>
      <c r="L244" s="45"/>
      <c r="M244" s="45"/>
    </row>
    <row r="245" spans="1:13" s="48" customFormat="1" ht="12.75">
      <c r="A245" s="45"/>
      <c r="B245" s="45"/>
      <c r="C245" s="46"/>
      <c r="D245" s="45"/>
      <c r="E245" s="45"/>
      <c r="F245" s="45"/>
      <c r="G245" s="45"/>
      <c r="H245" s="45"/>
      <c r="I245" s="45"/>
      <c r="J245" s="45"/>
      <c r="K245" s="45"/>
      <c r="L245" s="45"/>
      <c r="M245" s="45"/>
    </row>
    <row r="246" spans="1:13" s="48" customFormat="1" ht="12.75">
      <c r="A246" s="45"/>
      <c r="B246" s="45"/>
      <c r="C246" s="46"/>
      <c r="D246" s="45"/>
      <c r="E246" s="45"/>
      <c r="F246" s="45"/>
      <c r="G246" s="45"/>
      <c r="H246" s="45"/>
      <c r="I246" s="45"/>
      <c r="J246" s="45"/>
      <c r="K246" s="45"/>
      <c r="L246" s="45"/>
      <c r="M246" s="45"/>
    </row>
    <row r="247" spans="1:13" s="48" customFormat="1" ht="12.75">
      <c r="A247" s="45"/>
      <c r="B247" s="45"/>
      <c r="C247" s="46"/>
      <c r="D247" s="45"/>
      <c r="E247" s="45"/>
      <c r="F247" s="45"/>
      <c r="G247" s="45"/>
      <c r="H247" s="45"/>
      <c r="I247" s="45"/>
      <c r="J247" s="45"/>
      <c r="K247" s="45"/>
      <c r="L247" s="45"/>
      <c r="M247" s="45"/>
    </row>
    <row r="248" spans="1:13" s="48" customFormat="1" ht="12.75">
      <c r="A248" s="45"/>
      <c r="B248" s="45"/>
      <c r="C248" s="46"/>
      <c r="D248" s="45"/>
      <c r="E248" s="45"/>
      <c r="F248" s="45"/>
      <c r="G248" s="45"/>
      <c r="H248" s="45"/>
      <c r="I248" s="45"/>
      <c r="J248" s="45"/>
      <c r="K248" s="45"/>
      <c r="L248" s="45"/>
      <c r="M248" s="45"/>
    </row>
    <row r="249" spans="1:13" s="48" customFormat="1" ht="12.75">
      <c r="A249" s="45"/>
      <c r="B249" s="45"/>
      <c r="C249" s="46"/>
      <c r="D249" s="45"/>
      <c r="E249" s="45"/>
      <c r="F249" s="45"/>
      <c r="G249" s="45"/>
      <c r="H249" s="45"/>
      <c r="I249" s="45"/>
      <c r="J249" s="45"/>
      <c r="K249" s="45"/>
      <c r="L249" s="45"/>
      <c r="M249" s="45"/>
    </row>
    <row r="250" spans="1:13" s="48" customFormat="1" ht="12.75">
      <c r="A250" s="45"/>
      <c r="B250" s="45"/>
      <c r="C250" s="46"/>
      <c r="D250" s="45"/>
      <c r="E250" s="45"/>
      <c r="F250" s="45"/>
      <c r="G250" s="45"/>
      <c r="H250" s="45"/>
      <c r="I250" s="45"/>
      <c r="J250" s="45"/>
      <c r="K250" s="45"/>
      <c r="L250" s="45"/>
      <c r="M250" s="45"/>
    </row>
    <row r="251" spans="4:13" ht="12.75"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4:13" ht="12.75"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4:13" ht="12.75"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4:13" ht="12.75"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4:13" ht="12.75"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4:13" ht="12.75"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4:13" ht="12.75"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4:13" ht="12.75"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4:13" ht="12.75"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4:13" ht="12.75"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4:13" ht="12.75"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4:13" ht="12.75"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4:13" ht="12.75"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4:13" ht="12.75"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4:13" ht="12.75"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4:13" ht="12.75"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4:13" ht="12.75"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4:13" ht="12.75"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4:13" ht="12.75"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4:13" ht="12.75"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4:13" ht="12.75"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4:13" ht="12.75"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4:13" ht="12.75"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4:13" ht="12.75"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4:13" ht="12.75"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4:13" ht="12.75"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4:13" ht="12.75"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4:13" ht="12.75"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4:13" ht="12.75"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</sheetData>
  <sheetProtection selectLockedCells="1" selectUnlockedCells="1"/>
  <mergeCells count="14">
    <mergeCell ref="E2:E4"/>
    <mergeCell ref="F2:F4"/>
    <mergeCell ref="A2:A4"/>
    <mergeCell ref="B2:B4"/>
    <mergeCell ref="C2:C4"/>
    <mergeCell ref="D2:D4"/>
    <mergeCell ref="G2:G4"/>
    <mergeCell ref="H2:H4"/>
    <mergeCell ref="M3:M4"/>
    <mergeCell ref="I2:M2"/>
    <mergeCell ref="I3:I4"/>
    <mergeCell ref="L3:L4"/>
    <mergeCell ref="J3:J4"/>
    <mergeCell ref="K3:K4"/>
  </mergeCells>
  <printOptions horizontalCentered="1"/>
  <pageMargins left="0.2" right="0.2" top="1.4566929133858268" bottom="0.7086614173228347" header="0.5118110236220472" footer="0.4724409448818898"/>
  <pageSetup horizontalDpi="300" verticalDpi="300" orientation="landscape" paperSize="9" scale="83" r:id="rId1"/>
  <headerFooter alignWithMargins="0">
    <oddHeader>&amp;LROMÂNIA
JUDEŢUL MUREŞ
CONSILIUL JUDEŢEAN MUREŞ&amp;C
Programul de investiţii pe anul 2011&amp;RAnexa 7/h la HCJM nr. &amp;U          /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2011-12-14T09:41:53Z</cp:lastPrinted>
  <dcterms:created xsi:type="dcterms:W3CDTF">2011-02-04T07:32:26Z</dcterms:created>
  <dcterms:modified xsi:type="dcterms:W3CDTF">2011-12-15T08:51:45Z</dcterms:modified>
  <cp:category/>
  <cp:version/>
  <cp:contentType/>
  <cp:contentStatus/>
</cp:coreProperties>
</file>