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tabRatio="860" activeTab="0"/>
  </bookViews>
  <sheets>
    <sheet name="FF DDN" sheetId="1" r:id="rId1"/>
    <sheet name="1.1+1.2 Modif. 2018" sheetId="2" r:id="rId2"/>
    <sheet name="1.3 Modif 2018" sheetId="3" r:id="rId3"/>
    <sheet name="1.5 modif 2018" sheetId="4" r:id="rId4"/>
    <sheet name="1.7 Modif 2018" sheetId="5" r:id="rId5"/>
    <sheet name="1.9 modif 2018" sheetId="6" r:id="rId6"/>
    <sheet name="1.10 modif 2018" sheetId="7" r:id="rId7"/>
    <sheet name="2 Modificat 2018" sheetId="8" r:id="rId8"/>
  </sheets>
  <definedNames>
    <definedName name="_xlnm.Print_Area" localSheetId="1">'1.1+1.2 Modif. 2018'!$A$1:$J$39</definedName>
    <definedName name="_xlnm.Print_Area" localSheetId="6">'1.10 modif 2018'!$A$1:$D$18</definedName>
    <definedName name="_xlnm.Print_Area" localSheetId="2">'1.3 Modif 2018'!$A$1:$I$24</definedName>
    <definedName name="_xlnm.Print_Area" localSheetId="3">'1.5 modif 2018'!$A$1:$D$53</definedName>
    <definedName name="_xlnm.Print_Area" localSheetId="4">'1.7 Modif 2018'!$A$1:$J$38</definedName>
    <definedName name="_xlnm.Print_Area" localSheetId="5">'1.9 modif 2018'!$A$1:$D$8</definedName>
    <definedName name="_xlnm.Print_Area" localSheetId="7">'2 Modificat 2018'!$A$1:$I$43</definedName>
    <definedName name="_xlnm.Print_Area" localSheetId="0">'FF DDN'!$A$1:$K$55</definedName>
  </definedNames>
  <calcPr fullCalcOnLoad="1"/>
</workbook>
</file>

<file path=xl/comments3.xml><?xml version="1.0" encoding="utf-8"?>
<comments xmlns="http://schemas.openxmlformats.org/spreadsheetml/2006/main">
  <authors>
    <author>Autor</author>
  </authors>
  <commentList>
    <comment ref="F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4h /zi*312</t>
        </r>
      </text>
    </comment>
    <comment ref="F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4h/zi*312</t>
        </r>
      </text>
    </comment>
    <comment ref="F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2h/zi*312</t>
        </r>
      </text>
    </comment>
    <comment ref="F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3h/zi*312
</t>
        </r>
      </text>
    </comment>
    <comment ref="F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1h/zi*312</t>
        </r>
      </text>
    </comment>
    <comment ref="F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1h/zi*312</t>
        </r>
      </text>
    </comment>
    <comment ref="F1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1h/zi*365</t>
        </r>
      </text>
    </comment>
    <comment ref="F1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3h/zi*312
</t>
        </r>
      </text>
    </comment>
    <comment ref="F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1h/zi*312
</t>
        </r>
      </text>
    </comment>
    <comment ref="F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22h/zi*365</t>
        </r>
      </text>
    </comment>
    <comment ref="F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3h/zi*312</t>
        </r>
      </text>
    </comment>
    <comment ref="G1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8kwh/mc*10639.64mc</t>
        </r>
      </text>
    </comment>
    <comment ref="F1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3H/ZI*312</t>
        </r>
      </text>
    </comment>
    <comment ref="F1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3H/ZI*312</t>
        </r>
      </text>
    </comment>
    <comment ref="F1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24H/ZI*365</t>
        </r>
      </text>
    </comment>
    <comment ref="I1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functionare 4 ani
99443.52 *4 ani / 8 ani=49721.76 lei/an</t>
        </r>
      </text>
    </comment>
    <comment ref="F2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3H/ZI*312
</t>
        </r>
      </text>
    </comment>
    <comment ref="F2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3H/ZI*312</t>
        </r>
      </text>
    </comment>
    <comment ref="F2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6H/ZI*180zile
10h/zi* 180zile</t>
        </r>
      </text>
    </comment>
    <comment ref="F2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24H/ZI*365</t>
        </r>
      </text>
    </comment>
  </commentList>
</comments>
</file>

<file path=xl/sharedStrings.xml><?xml version="1.0" encoding="utf-8"?>
<sst xmlns="http://schemas.openxmlformats.org/spreadsheetml/2006/main" count="480" uniqueCount="282">
  <si>
    <t>Nr. crt.</t>
  </si>
  <si>
    <t>U/M</t>
  </si>
  <si>
    <t>Cheltuieli materiale, din care</t>
  </si>
  <si>
    <t>Combustibil</t>
  </si>
  <si>
    <t>Lubrefianti</t>
  </si>
  <si>
    <t>Energie electrica tehnologica</t>
  </si>
  <si>
    <t>Materii prime si materiale consumabile</t>
  </si>
  <si>
    <t>Echipament de lucru si  de protectia muncii</t>
  </si>
  <si>
    <t>Cheltuieli cu protectia mediului</t>
  </si>
  <si>
    <t>Alte servicii executate de terti</t>
  </si>
  <si>
    <t>Alte cheltuieli materiale</t>
  </si>
  <si>
    <t>Cheltuieli privind sistemul informatic</t>
  </si>
  <si>
    <t>Cheltuieli de informare si constientizare</t>
  </si>
  <si>
    <t>Cheltuieli cu munca vie</t>
  </si>
  <si>
    <t>Salarii</t>
  </si>
  <si>
    <t>Fond somaj</t>
  </si>
  <si>
    <t>CASS</t>
  </si>
  <si>
    <t>Fond accidente si boli profesionale</t>
  </si>
  <si>
    <t>Cota de contributii pentru concedii si indemnizatii</t>
  </si>
  <si>
    <t>Fond de garantare creante salariale</t>
  </si>
  <si>
    <t>Alte cheltuieli cu munca vie (inclusiv tichete de masa)</t>
  </si>
  <si>
    <t>Alte cheltuieli</t>
  </si>
  <si>
    <t>Cheltuieli totale (A+B)</t>
  </si>
  <si>
    <t>Venituri obtinute din activitatea de salubrizare (I+II+III)</t>
  </si>
  <si>
    <t>Tarif, exclusiv TVA</t>
  </si>
  <si>
    <t>Tarif, inclusiv TVA</t>
  </si>
  <si>
    <t>A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</si>
  <si>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</si>
  <si>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</si>
  <si>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</si>
  <si>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</si>
  <si>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</si>
  <si>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</si>
  <si>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</si>
  <si>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</si>
  <si>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</si>
  <si>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</si>
  <si>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</si>
  <si>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</si>
  <si>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</si>
  <si>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</si>
  <si>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</si>
  <si>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</si>
  <si>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</si>
  <si>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</si>
  <si>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</si>
  <si>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</si>
  <si>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</si>
  <si>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</si>
  <si>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</si>
  <si>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</si>
  <si>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</si>
  <si>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lei</t>
  </si>
  <si>
    <t>t/an</t>
  </si>
  <si>
    <t>lei/t</t>
  </si>
  <si>
    <t>Cheltuieli de exploatare (1+2+3+4+5+6+7+8)</t>
  </si>
  <si>
    <t>2. Cheltuieli cu munca vie</t>
  </si>
  <si>
    <t>2.1. Salarii</t>
  </si>
  <si>
    <t>Număr</t>
  </si>
  <si>
    <t>Instalator</t>
  </si>
  <si>
    <t>TOTAL</t>
  </si>
  <si>
    <t>Valoare anuala</t>
  </si>
  <si>
    <t>Categorie</t>
  </si>
  <si>
    <t>Numar</t>
  </si>
  <si>
    <t>Valoare unitara</t>
  </si>
  <si>
    <t>Personal pentru tot contractul</t>
  </si>
  <si>
    <t>Manager general operatiuni</t>
  </si>
  <si>
    <t>Asistent manager</t>
  </si>
  <si>
    <t>Manager mediu, responsabil mediu</t>
  </si>
  <si>
    <t>Casier, operator facturare, gestiune</t>
  </si>
  <si>
    <t>Responsabil inspectie deseuri periculoase, consilier siguranta</t>
  </si>
  <si>
    <t>Dispecer</t>
  </si>
  <si>
    <t>Electrician</t>
  </si>
  <si>
    <t>Operator cantar + 1 persoana pentru asigurare CO, CM, si ore suplimentare</t>
  </si>
  <si>
    <t>Salubrizor + 1 persoana pentru asigurare CO, CM, si ore suplimentare</t>
  </si>
  <si>
    <t>Salubrizor deseuri periculoase</t>
  </si>
  <si>
    <t>Sofer pick-up</t>
  </si>
  <si>
    <t>Responsabil intretinere</t>
  </si>
  <si>
    <t>Sofer/mecanic compactor</t>
  </si>
  <si>
    <t>Electromecanic pentru asigurare CO, CM, si ore suplimentare</t>
  </si>
  <si>
    <t>Mecanic utilaje pentru asigurare CO, CM, si ore suplimentare</t>
  </si>
  <si>
    <t>Sofer/mecanic incarcator frontal</t>
  </si>
  <si>
    <t>Redeventa (egala cu Amortizarea Bunurilor concesionate)</t>
  </si>
  <si>
    <t>Piese de schimb utilaje</t>
  </si>
  <si>
    <t>Sef operatiuni depozit/sef de echipa, fiind alocat in proportie de 90% la DDN, si 10% la transfer si transport.</t>
  </si>
  <si>
    <t>Reparatii, revizii si intretinere curenta</t>
  </si>
  <si>
    <t xml:space="preserve">Consumatori </t>
  </si>
  <si>
    <t>Număr de unităţi</t>
  </si>
  <si>
    <t>Putere instalata (kw)</t>
  </si>
  <si>
    <t>Coeficient putere consumata</t>
  </si>
  <si>
    <t>Consum efectiv (kW)</t>
  </si>
  <si>
    <t xml:space="preserve">Timp de funcţionare
(h/an) </t>
  </si>
  <si>
    <t>Consum total
(kWh/an)</t>
  </si>
  <si>
    <t>Cost specific
(lei/kWh)</t>
  </si>
  <si>
    <t>Costuri totale anuale
(lei/an)</t>
  </si>
  <si>
    <t>Container receptie</t>
  </si>
  <si>
    <t>Cantar rutier capacitate 60 t</t>
  </si>
  <si>
    <t>Pompa inalta presiune-spalare autovehicule</t>
  </si>
  <si>
    <t>Cazan electric + boiler electric</t>
  </si>
  <si>
    <t>Laborator</t>
  </si>
  <si>
    <t>Pompa motorina statie carburant</t>
  </si>
  <si>
    <t>Statie de epurare ape uzate menajere</t>
  </si>
  <si>
    <t>Hidrofor apa tehnologica (Statia pompare incendiu)</t>
  </si>
  <si>
    <t>Electropompa retea incendiu (Statia pompare incendiu)</t>
  </si>
  <si>
    <t>Electropompa levigat ( Statia pompare SP1)</t>
  </si>
  <si>
    <t>Electropompa apa uzata (Statia pompare SP2)</t>
  </si>
  <si>
    <t>Statie osmoza inversa tip ROAW 9144 DTG</t>
  </si>
  <si>
    <t>Pompa submersibila</t>
  </si>
  <si>
    <t>Statie clorinare containerizata</t>
  </si>
  <si>
    <t>Statie container compresor biogaz</t>
  </si>
  <si>
    <t>Cladire administrativa</t>
  </si>
  <si>
    <t>garaj</t>
  </si>
  <si>
    <t>iluminat exterior</t>
  </si>
  <si>
    <t>cabina poarta</t>
  </si>
  <si>
    <t>TOTAL COSTURI CU ENERGIE ELECTRICA</t>
  </si>
  <si>
    <t>Consumatori</t>
  </si>
  <si>
    <t>Nr.de km functionare anual</t>
  </si>
  <si>
    <t>Ore de functionare anual</t>
  </si>
  <si>
    <t>Consum normat de carburant (l/100 km)</t>
  </si>
  <si>
    <t>Consum normat de carburant (l/ora )</t>
  </si>
  <si>
    <t>Cost specific carburant (lei/litru, fara TVA)</t>
  </si>
  <si>
    <t>Consum anual de lubrefiant
(litri sau  kg/an)</t>
  </si>
  <si>
    <t>Cost specific lubrefiant
(lei/litru, fara TVA)</t>
  </si>
  <si>
    <t>Costuri totale pe an</t>
  </si>
  <si>
    <t>Vehicul autoutilitar tip  NISSAN NAVARO</t>
  </si>
  <si>
    <t>Ulei de motor</t>
  </si>
  <si>
    <t xml:space="preserve"> ---</t>
  </si>
  <si>
    <t>Ulei hidraulic</t>
  </si>
  <si>
    <t>Vaselina</t>
  </si>
  <si>
    <t>Camion bascula tip  MAN TGS 26360 6x4 BB</t>
  </si>
  <si>
    <t>Ulei cutie</t>
  </si>
  <si>
    <t>Ulei diferential</t>
  </si>
  <si>
    <t>Maturatoare stradala HAKO CM2000 E5</t>
  </si>
  <si>
    <t>Ulei motor</t>
  </si>
  <si>
    <t>Compactor deseuri tip BC 772 RB</t>
  </si>
  <si>
    <t xml:space="preserve">  ---</t>
  </si>
  <si>
    <t>Ulei de transmisie</t>
  </si>
  <si>
    <t>Incarcator frontal tip HYUNDAI HL 757-9A</t>
  </si>
  <si>
    <t>Grup electrogen diesel 31KVA</t>
  </si>
  <si>
    <t>TOTAL COSTURI CU CARBURANTI SI LUBREFIANTI</t>
  </si>
  <si>
    <t xml:space="preserve">TOTAL COSTURI CU CARBURANTI </t>
  </si>
  <si>
    <t>TOTAL COSTURI CU LUBREFIANTI</t>
  </si>
  <si>
    <t>Cantar rutier</t>
  </si>
  <si>
    <t>Container metalic de 30 mc</t>
  </si>
  <si>
    <t>Camion MAN TGS 26360 6x4 BB</t>
  </si>
  <si>
    <t>Maturatoare stradala  HAKO CM2000 E5</t>
  </si>
  <si>
    <t>Compactor deseuri BC 772 RB</t>
  </si>
  <si>
    <t>Incarcator frontal HYUNDAI HL 757-9A</t>
  </si>
  <si>
    <t>1.1 + 1.2 - Combustibil, carburanti si lubrifianti</t>
  </si>
  <si>
    <t>1.5. MATERII PRIME SI CONSUMABILE</t>
  </si>
  <si>
    <t>Utilaj si consumabile aferente</t>
  </si>
  <si>
    <t>Număr de bucati consumate anual
(buc)</t>
  </si>
  <si>
    <t>Pret unitar consumabil
(lei/buc)</t>
  </si>
  <si>
    <t>vaselina</t>
  </si>
  <si>
    <t>vopsea</t>
  </si>
  <si>
    <t>Vehicul autoutilitar</t>
  </si>
  <si>
    <t>solutie parbriz</t>
  </si>
  <si>
    <t>stergatoare parbriz</t>
  </si>
  <si>
    <t>lavete</t>
  </si>
  <si>
    <t>becuri</t>
  </si>
  <si>
    <t>spray degresare</t>
  </si>
  <si>
    <t>lichid parbriz</t>
  </si>
  <si>
    <t>lavete, srergatoare,becuri:</t>
  </si>
  <si>
    <t>lavete, srergatoare,becuri,antigel</t>
  </si>
  <si>
    <t>lichi parbriz</t>
  </si>
  <si>
    <t>stergatoare</t>
  </si>
  <si>
    <t xml:space="preserve">antigel </t>
  </si>
  <si>
    <t>becuri(set)</t>
  </si>
  <si>
    <t>lichid frana</t>
  </si>
  <si>
    <t>Separator hidrocarburi 10l/s</t>
  </si>
  <si>
    <t>materiale intretinere consumabile</t>
  </si>
  <si>
    <t>cleaner A</t>
  </si>
  <si>
    <t>cleaner C</t>
  </si>
  <si>
    <t>dozare antiscalant Rohib K</t>
  </si>
  <si>
    <t>acid(H2SO4 96%)</t>
  </si>
  <si>
    <t>elemente filtrante</t>
  </si>
  <si>
    <t>TOTAL COSTURI CU MATERII PRIME SI CONSUMABILE</t>
  </si>
  <si>
    <t xml:space="preserve">1.7 INTRETINERE, REVIZII PERIODICE SI REPARATII UTILAJE SI ECHIPAMENTE </t>
  </si>
  <si>
    <t>Utilaj, echipament</t>
  </si>
  <si>
    <t>Durata contract
(ani)</t>
  </si>
  <si>
    <t>Ore de functionare anual
(ore/an)</t>
  </si>
  <si>
    <t>Total ore de functionare pe perioada contractului (ore)</t>
  </si>
  <si>
    <t>Valoare de inventar
(lei)</t>
  </si>
  <si>
    <t>Numar de bucati</t>
  </si>
  <si>
    <t>Cota de reparatie generala 
(%)</t>
  </si>
  <si>
    <t xml:space="preserve">Cost revizii periodice anuale - materiale, piese si manopera
(lei/an, fara TVA) </t>
  </si>
  <si>
    <t xml:space="preserve">Cost anual reparatii planificate si accidentale
(lei/an) </t>
  </si>
  <si>
    <t>Costuri totale anuale-revizii+reparatii
(lei/an)</t>
  </si>
  <si>
    <t>Post de transformare prefabricat 2x 630kVA</t>
  </si>
  <si>
    <t>Container metalic 30mc-zona securitate</t>
  </si>
  <si>
    <t>Sistem de supraveghere si alarmare la incendiu</t>
  </si>
  <si>
    <t>Vehicul pick-up tip NISSAN NAVARO D401</t>
  </si>
  <si>
    <t>Statie carburant rezervor</t>
  </si>
  <si>
    <t>Rezervor stocare levigat 700mc</t>
  </si>
  <si>
    <t>Separator hidrocarburi 0.3l/s</t>
  </si>
  <si>
    <t>Baterie condensatori 20kva</t>
  </si>
  <si>
    <t>Baterie condensatori 60kva</t>
  </si>
  <si>
    <t>Hidrofor apa tehnologica(Statie pompare incendiu)</t>
  </si>
  <si>
    <t>Electropompa retea incendiu(statia pompare incendiu)</t>
  </si>
  <si>
    <t>Electropompa levigat SP1</t>
  </si>
  <si>
    <t>Electropompa apa uzata SP2</t>
  </si>
  <si>
    <t>Rezervor apa potabila</t>
  </si>
  <si>
    <t>Arzator biogaz</t>
  </si>
  <si>
    <t>Conducte sistem ardere biogaz</t>
  </si>
  <si>
    <t>TOTAL COSTURI CU INTRETINEREA, REVIZIILE PERIODICE SI REPARATIILE</t>
  </si>
  <si>
    <t>N/A</t>
  </si>
  <si>
    <t>Cheltuieli cu depunerea in rampa - Nu este cazul</t>
  </si>
  <si>
    <t>Nr. unitati</t>
  </si>
  <si>
    <t>Costuri specific unitar</t>
  </si>
  <si>
    <t>Inlocuire perdea vegetala</t>
  </si>
  <si>
    <t>per total</t>
  </si>
  <si>
    <t>Analize aer, apa, sol</t>
  </si>
  <si>
    <t>Cost specific pe unitate/an</t>
  </si>
  <si>
    <t>certificare ISO 14001</t>
  </si>
  <si>
    <t>certificare ISO 18001</t>
  </si>
  <si>
    <t>servicii telefonie</t>
  </si>
  <si>
    <t>servicii internet</t>
  </si>
  <si>
    <t>verificari metrologice</t>
  </si>
  <si>
    <t>ITP vehicule</t>
  </si>
  <si>
    <t>ISCIR</t>
  </si>
  <si>
    <t>servicii vidanjare (mc)</t>
  </si>
  <si>
    <t>Taxe, licente, certificari, autorizari, etc.</t>
  </si>
  <si>
    <t>Asigurari boli profesionale si accidente de munca</t>
  </si>
  <si>
    <t>Medicina muncii</t>
  </si>
  <si>
    <t>Instruire profesionala personal</t>
  </si>
  <si>
    <t>Instruire SSM si ISU</t>
  </si>
  <si>
    <t>SF</t>
  </si>
  <si>
    <t>Cheltuieli financiare - incluse in costurile generale de administrare</t>
  </si>
  <si>
    <t>Cota de dezvoltare-nu este cazul</t>
  </si>
  <si>
    <t>Alte taxe si onorarii-nu este cazul</t>
  </si>
  <si>
    <t>Fond pentru inchiderea depozitului de deseuri si urmarirea acestuia post inchidere-conform CS</t>
  </si>
  <si>
    <t>Cantitatea programata*</t>
  </si>
  <si>
    <t>1.9. Cheltuieli cu protectia mediului</t>
  </si>
  <si>
    <t>1.10 Alte servicii executate de terti</t>
  </si>
  <si>
    <t>Total</t>
  </si>
  <si>
    <t>2.3. Alte cheltuieli cu munca vie</t>
  </si>
  <si>
    <t>Mecanic*</t>
  </si>
  <si>
    <t>2.2Contributie asiguratori pentru munca 2.25%</t>
  </si>
  <si>
    <t>Profit, 7%</t>
  </si>
  <si>
    <t>Fundamentarea anterioara</t>
  </si>
  <si>
    <t>Fundamentarea propusa</t>
  </si>
  <si>
    <t>Total (lei)</t>
  </si>
  <si>
    <t>Unitar
lei/UM</t>
  </si>
  <si>
    <t>Total cresteri</t>
  </si>
  <si>
    <t>Modificari conf. art. 15 din Ordin 109/2007</t>
  </si>
  <si>
    <t>1.3 Energie electrica tehnologica</t>
  </si>
  <si>
    <t>Cheltuieli cu inchirierea utilajelor</t>
  </si>
  <si>
    <t>CAS</t>
  </si>
  <si>
    <t>Contributie asiguratori pentru munca 2.25%</t>
  </si>
  <si>
    <t>TVA, 19% (20% la oferta initiala)</t>
  </si>
  <si>
    <t xml:space="preserve">Crestere IPC = </t>
  </si>
  <si>
    <t>Operator statie tratare a levigatului</t>
  </si>
  <si>
    <t xml:space="preserve">biocid </t>
  </si>
  <si>
    <t xml:space="preserve">Mentenanta si exploatare , functionare statie -KLARWIN </t>
  </si>
  <si>
    <t xml:space="preserve"> </t>
  </si>
  <si>
    <t xml:space="preserve">conform INS </t>
  </si>
  <si>
    <t xml:space="preserve">lei </t>
  </si>
  <si>
    <t xml:space="preserve">Ajustare cu cresterea IPC din perioad Iulie. 2016 - Iunie 2018 </t>
  </si>
  <si>
    <t xml:space="preserve">Personal curatenie </t>
  </si>
  <si>
    <t xml:space="preserve">total oferta </t>
  </si>
  <si>
    <t xml:space="preserve">sal brut </t>
  </si>
  <si>
    <t>Propunere sal .brut</t>
  </si>
  <si>
    <t xml:space="preserve">total propunere </t>
  </si>
  <si>
    <t xml:space="preserve">salariu brut </t>
  </si>
  <si>
    <t>Propunere sal net</t>
  </si>
  <si>
    <t>oferta net</t>
  </si>
  <si>
    <t>oferta brut</t>
  </si>
  <si>
    <t>Consumuri specifice :</t>
  </si>
  <si>
    <t xml:space="preserve">Cleaner A 0.191 l/mc x30432.6=5812.62 l </t>
  </si>
  <si>
    <t>Cleaner C 0.026l/mc x3432.6 mc=791.25 l</t>
  </si>
  <si>
    <t>Antiscalant Rohib 0.215l/h x 5742 h =1234.53 l</t>
  </si>
  <si>
    <t>Acid sulfuric 1,22l/mc x 30432.6=371227.77 l</t>
  </si>
  <si>
    <t xml:space="preserve">Biocid 1l/mcx 30432.6 mc= 30432,6 l </t>
  </si>
  <si>
    <t>1500euro/luna x12 luni x4,65lei/euro</t>
  </si>
  <si>
    <t xml:space="preserve">Salariu mediu brut/economie conf. Legii 3/2018 =4162 lei/luna </t>
  </si>
  <si>
    <t>Salariu mediu brut propus =2817 lei/luna  68%</t>
  </si>
  <si>
    <t>pret unitar</t>
  </si>
  <si>
    <t xml:space="preserve">Total cresteri </t>
  </si>
  <si>
    <t>Depozit de deseuri conform Sanpaul</t>
  </si>
  <si>
    <t>Anexa 1 la Hotararea Consiliului Judetean Mures</t>
  </si>
  <si>
    <t>Fisa de fundamentare a tarifului  modificat pentru activitatea de depozitare deseuri la DDN Sanpaul</t>
  </si>
  <si>
    <t>nr.112 din 27 septembrie 2018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</si>
</sst>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-;\-* #,##0.00_-;_-* &quot;-&quot;??_-;_-@_-"/>
    <numFmt numFmtId="165" formatCode="#,##0.00\ [$lei-418]"/>
    <numFmt numFmtId="166" formatCode="#,##0\ [$lei-418]"/>
    <numFmt numFmtId="167" formatCode="_-* #,##0_-;\-* #,##0_-;_-* &quot;-&quot;??_-;_-@_-"/>
    <numFmt numFmtId="168" formatCode="#,##0.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6"/>
      <name val="Times New Roman"/>
      <family val="1"/>
    </font>
    <font>
      <sz val="16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/>
      <top style="double"/>
      <bottom style="double"/>
    </border>
    <border>
      <left style="thin"/>
      <right style="medium"/>
      <top/>
      <bottom style="double"/>
    </border>
    <border>
      <left style="medium"/>
      <right/>
      <top/>
      <bottom/>
    </border>
    <border>
      <left/>
      <right style="thin"/>
      <top/>
      <bottom style="double"/>
    </border>
    <border>
      <left/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double"/>
    </border>
    <border>
      <left style="medium"/>
      <right/>
      <top style="double"/>
      <bottom style="medium"/>
    </border>
    <border>
      <left style="medium"/>
      <right style="medium"/>
      <top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/>
      <bottom/>
    </border>
    <border>
      <left/>
      <right/>
      <top/>
      <bottom style="double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2" applyNumberFormat="0" applyFill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7" borderId="3" applyNumberFormat="0" applyAlignment="0" applyProtection="0"/>
    <xf numFmtId="0" fontId="5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0">
    <xf numFmtId="0" fontId="0" fillId="0" borderId="0" xfId="0" applyFont="1" applyAlignment="1">
      <alignment/>
    </xf>
    <xf numFmtId="0" fontId="6" fillId="0" borderId="10" xfId="51" applyFont="1" applyFill="1" applyBorder="1" applyAlignment="1">
      <alignment horizontal="center" vertical="center" wrapText="1"/>
      <protection/>
    </xf>
    <xf numFmtId="165" fontId="7" fillId="0" borderId="10" xfId="51" applyNumberFormat="1" applyFont="1" applyFill="1" applyBorder="1" applyAlignment="1">
      <alignment vertical="center"/>
      <protection/>
    </xf>
    <xf numFmtId="165" fontId="6" fillId="0" borderId="10" xfId="51" applyNumberFormat="1" applyFont="1" applyFill="1" applyBorder="1" applyAlignment="1">
      <alignment vertical="center"/>
      <protection/>
    </xf>
    <xf numFmtId="0" fontId="62" fillId="0" borderId="10" xfId="0" applyFont="1" applyFill="1" applyBorder="1" applyAlignment="1">
      <alignment/>
    </xf>
    <xf numFmtId="0" fontId="6" fillId="0" borderId="0" xfId="51" applyFont="1" applyFill="1" applyBorder="1" applyAlignment="1">
      <alignment wrapText="1"/>
      <protection/>
    </xf>
    <xf numFmtId="0" fontId="6" fillId="0" borderId="0" xfId="51" applyFont="1" applyFill="1" applyBorder="1" applyAlignment="1">
      <alignment horizontal="center" wrapText="1"/>
      <protection/>
    </xf>
    <xf numFmtId="0" fontId="7" fillId="0" borderId="0" xfId="51" applyFont="1" applyFill="1" applyBorder="1" applyAlignment="1">
      <alignment horizontal="center"/>
      <protection/>
    </xf>
    <xf numFmtId="3" fontId="7" fillId="0" borderId="0" xfId="51" applyNumberFormat="1" applyFont="1" applyFill="1" applyBorder="1" applyAlignment="1">
      <alignment horizontal="center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3" fontId="6" fillId="33" borderId="10" xfId="51" applyNumberFormat="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wrapText="1"/>
      <protection/>
    </xf>
    <xf numFmtId="0" fontId="7" fillId="0" borderId="10" xfId="51" applyFont="1" applyFill="1" applyBorder="1" applyAlignment="1">
      <alignment horizontal="center" vertical="top" wrapText="1"/>
      <protection/>
    </xf>
    <xf numFmtId="0" fontId="7" fillId="0" borderId="10" xfId="51" applyFont="1" applyFill="1" applyBorder="1" applyAlignment="1">
      <alignment horizontal="right" vertical="top" wrapText="1"/>
      <protection/>
    </xf>
    <xf numFmtId="0" fontId="7" fillId="0" borderId="10" xfId="51" applyFont="1" applyFill="1" applyBorder="1" applyAlignment="1">
      <alignment horizontal="right" vertical="top" wrapText="1"/>
      <protection/>
    </xf>
    <xf numFmtId="3" fontId="7" fillId="0" borderId="10" xfId="51" applyNumberFormat="1" applyFont="1" applyFill="1" applyBorder="1" applyAlignment="1">
      <alignment horizontal="right" vertical="center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right" vertical="center" wrapText="1"/>
      <protection/>
    </xf>
    <xf numFmtId="0" fontId="7" fillId="0" borderId="10" xfId="51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horizontal="left"/>
    </xf>
    <xf numFmtId="0" fontId="7" fillId="0" borderId="10" xfId="51" applyFont="1" applyFill="1" applyBorder="1" applyAlignment="1">
      <alignment horizontal="center" vertical="top" wrapText="1"/>
      <protection/>
    </xf>
    <xf numFmtId="0" fontId="7" fillId="34" borderId="10" xfId="0" applyFont="1" applyFill="1" applyBorder="1" applyAlignment="1">
      <alignment/>
    </xf>
    <xf numFmtId="0" fontId="7" fillId="34" borderId="10" xfId="51" applyFont="1" applyFill="1" applyBorder="1" applyAlignment="1">
      <alignment horizontal="center" vertical="top" wrapText="1"/>
      <protection/>
    </xf>
    <xf numFmtId="0" fontId="7" fillId="34" borderId="10" xfId="51" applyFont="1" applyFill="1" applyBorder="1" applyAlignment="1">
      <alignment horizontal="right" vertical="top" wrapText="1"/>
      <protection/>
    </xf>
    <xf numFmtId="0" fontId="7" fillId="34" borderId="10" xfId="51" applyFont="1" applyFill="1" applyBorder="1" applyAlignment="1">
      <alignment horizontal="right" vertical="top" wrapText="1"/>
      <protection/>
    </xf>
    <xf numFmtId="165" fontId="7" fillId="34" borderId="10" xfId="51" applyNumberFormat="1" applyFont="1" applyFill="1" applyBorder="1" applyAlignment="1">
      <alignment vertical="center"/>
      <protection/>
    </xf>
    <xf numFmtId="2" fontId="7" fillId="34" borderId="10" xfId="51" applyNumberFormat="1" applyFont="1" applyFill="1" applyBorder="1" applyAlignment="1">
      <alignment horizontal="right" vertical="top" wrapText="1"/>
      <protection/>
    </xf>
    <xf numFmtId="2" fontId="7" fillId="0" borderId="10" xfId="51" applyNumberFormat="1" applyFont="1" applyFill="1" applyBorder="1" applyAlignment="1">
      <alignment horizontal="right" vertical="top" wrapText="1"/>
      <protection/>
    </xf>
    <xf numFmtId="4" fontId="7" fillId="0" borderId="10" xfId="51" applyNumberFormat="1" applyFont="1" applyFill="1" applyBorder="1" applyAlignment="1">
      <alignment horizontal="right" vertical="top" wrapText="1"/>
      <protection/>
    </xf>
    <xf numFmtId="0" fontId="8" fillId="34" borderId="10" xfId="0" applyFont="1" applyFill="1" applyBorder="1" applyAlignment="1">
      <alignment horizontal="left"/>
    </xf>
    <xf numFmtId="165" fontId="6" fillId="33" borderId="10" xfId="51" applyNumberFormat="1" applyFont="1" applyFill="1" applyBorder="1">
      <alignment/>
      <protection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3" fontId="8" fillId="0" borderId="10" xfId="0" applyNumberFormat="1" applyFont="1" applyBorder="1" applyAlignment="1">
      <alignment horizontal="righ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7" fillId="0" borderId="10" xfId="51" applyFont="1" applyFill="1" applyBorder="1" applyAlignment="1">
      <alignment horizontal="center" wrapText="1"/>
      <protection/>
    </xf>
    <xf numFmtId="3" fontId="7" fillId="0" borderId="10" xfId="51" applyNumberFormat="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vertical="center" wrapText="1"/>
      <protection/>
    </xf>
    <xf numFmtId="165" fontId="6" fillId="33" borderId="10" xfId="51" applyNumberFormat="1" applyFont="1" applyFill="1" applyBorder="1" applyAlignment="1">
      <alignment vertical="center"/>
      <protection/>
    </xf>
    <xf numFmtId="165" fontId="0" fillId="0" borderId="0" xfId="0" applyNumberFormat="1" applyAlignment="1">
      <alignment/>
    </xf>
    <xf numFmtId="0" fontId="63" fillId="0" borderId="10" xfId="0" applyFont="1" applyFill="1" applyBorder="1" applyAlignment="1">
      <alignment horizontal="right"/>
    </xf>
    <xf numFmtId="165" fontId="6" fillId="0" borderId="10" xfId="51" applyNumberFormat="1" applyFont="1" applyFill="1" applyBorder="1">
      <alignment/>
      <protection/>
    </xf>
    <xf numFmtId="0" fontId="62" fillId="0" borderId="0" xfId="0" applyFont="1" applyFill="1" applyAlignment="1">
      <alignment/>
    </xf>
    <xf numFmtId="0" fontId="62" fillId="0" borderId="10" xfId="0" applyFont="1" applyFill="1" applyBorder="1" applyAlignment="1">
      <alignment horizontal="center"/>
    </xf>
    <xf numFmtId="165" fontId="7" fillId="0" borderId="10" xfId="51" applyNumberFormat="1" applyFont="1" applyFill="1" applyBorder="1">
      <alignment/>
      <protection/>
    </xf>
    <xf numFmtId="165" fontId="62" fillId="0" borderId="10" xfId="0" applyNumberFormat="1" applyFont="1" applyFill="1" applyBorder="1" applyAlignment="1">
      <alignment/>
    </xf>
    <xf numFmtId="9" fontId="7" fillId="0" borderId="10" xfId="50" applyFont="1" applyFill="1" applyBorder="1" applyAlignment="1">
      <alignment vertical="center"/>
    </xf>
    <xf numFmtId="0" fontId="7" fillId="0" borderId="10" xfId="51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right" wrapText="1"/>
      <protection/>
    </xf>
    <xf numFmtId="1" fontId="7" fillId="0" borderId="10" xfId="51" applyNumberFormat="1" applyFont="1" applyFill="1" applyBorder="1" applyAlignment="1">
      <alignment vertical="center"/>
      <protection/>
    </xf>
    <xf numFmtId="1" fontId="7" fillId="0" borderId="10" xfId="51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horizontal="left"/>
    </xf>
    <xf numFmtId="1" fontId="7" fillId="0" borderId="10" xfId="51" applyNumberFormat="1" applyFont="1" applyFill="1" applyBorder="1" applyAlignment="1">
      <alignment horizontal="center" vertical="center"/>
      <protection/>
    </xf>
    <xf numFmtId="0" fontId="7" fillId="0" borderId="10" xfId="51" applyNumberFormat="1" applyFont="1" applyFill="1" applyBorder="1" applyAlignment="1">
      <alignment horizontal="right" vertical="center"/>
      <protection/>
    </xf>
    <xf numFmtId="1" fontId="7" fillId="0" borderId="10" xfId="51" applyNumberFormat="1" applyFont="1" applyFill="1" applyBorder="1" applyAlignment="1">
      <alignment horizontal="right" vertical="center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left"/>
    </xf>
    <xf numFmtId="0" fontId="6" fillId="0" borderId="10" xfId="51" applyFont="1" applyFill="1" applyBorder="1" applyAlignment="1">
      <alignment vertical="center" wrapText="1"/>
      <protection/>
    </xf>
    <xf numFmtId="2" fontId="7" fillId="0" borderId="10" xfId="51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64" fillId="0" borderId="10" xfId="0" applyFont="1" applyFill="1" applyBorder="1" applyAlignment="1">
      <alignment/>
    </xf>
    <xf numFmtId="165" fontId="64" fillId="0" borderId="10" xfId="51" applyNumberFormat="1" applyFont="1" applyFill="1" applyBorder="1">
      <alignment/>
      <protection/>
    </xf>
    <xf numFmtId="0" fontId="6" fillId="0" borderId="0" xfId="51" applyFont="1" applyFill="1" applyBorder="1" applyAlignment="1">
      <alignment horizontal="left" wrapText="1"/>
      <protection/>
    </xf>
    <xf numFmtId="0" fontId="7" fillId="0" borderId="15" xfId="51" applyFont="1" applyFill="1" applyBorder="1" applyAlignment="1">
      <alignment vertical="center" wrapText="1"/>
      <protection/>
    </xf>
    <xf numFmtId="0" fontId="7" fillId="0" borderId="16" xfId="51" applyFont="1" applyFill="1" applyBorder="1" applyAlignment="1">
      <alignment horizontal="center" wrapText="1"/>
      <protection/>
    </xf>
    <xf numFmtId="0" fontId="7" fillId="0" borderId="16" xfId="51" applyFont="1" applyFill="1" applyBorder="1" applyAlignment="1">
      <alignment horizontal="center"/>
      <protection/>
    </xf>
    <xf numFmtId="3" fontId="7" fillId="0" borderId="16" xfId="51" applyNumberFormat="1" applyFont="1" applyFill="1" applyBorder="1" applyAlignment="1">
      <alignment horizontal="center"/>
      <protection/>
    </xf>
    <xf numFmtId="0" fontId="62" fillId="0" borderId="16" xfId="0" applyFont="1" applyFill="1" applyBorder="1" applyAlignment="1">
      <alignment horizontal="center" vertical="center"/>
    </xf>
    <xf numFmtId="165" fontId="7" fillId="0" borderId="16" xfId="51" applyNumberFormat="1" applyFont="1" applyFill="1" applyBorder="1" applyAlignment="1">
      <alignment vertical="center"/>
      <protection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3" fontId="7" fillId="0" borderId="19" xfId="51" applyNumberFormat="1" applyFont="1" applyFill="1" applyBorder="1" applyAlignment="1">
      <alignment horizontal="center"/>
      <protection/>
    </xf>
    <xf numFmtId="3" fontId="7" fillId="0" borderId="20" xfId="51" applyNumberFormat="1" applyFont="1" applyFill="1" applyBorder="1" applyAlignment="1">
      <alignment horizontal="center"/>
      <protection/>
    </xf>
    <xf numFmtId="2" fontId="7" fillId="0" borderId="19" xfId="51" applyNumberFormat="1" applyFont="1" applyFill="1" applyBorder="1" applyAlignment="1">
      <alignment vertical="center"/>
      <protection/>
    </xf>
    <xf numFmtId="165" fontId="7" fillId="0" borderId="19" xfId="51" applyNumberFormat="1" applyFont="1" applyFill="1" applyBorder="1" applyAlignment="1">
      <alignment vertical="center"/>
      <protection/>
    </xf>
    <xf numFmtId="0" fontId="7" fillId="0" borderId="21" xfId="51" applyFont="1" applyFill="1" applyBorder="1" applyAlignment="1">
      <alignment vertical="center" wrapText="1"/>
      <protection/>
    </xf>
    <xf numFmtId="0" fontId="7" fillId="0" borderId="19" xfId="51" applyFont="1" applyFill="1" applyBorder="1" applyAlignment="1">
      <alignment horizontal="center" wrapText="1"/>
      <protection/>
    </xf>
    <xf numFmtId="0" fontId="7" fillId="0" borderId="19" xfId="51" applyFont="1" applyFill="1" applyBorder="1" applyAlignment="1">
      <alignment horizontal="center"/>
      <protection/>
    </xf>
    <xf numFmtId="0" fontId="62" fillId="0" borderId="19" xfId="0" applyFont="1" applyFill="1" applyBorder="1" applyAlignment="1">
      <alignment horizontal="center" vertical="center"/>
    </xf>
    <xf numFmtId="0" fontId="6" fillId="33" borderId="22" xfId="51" applyFont="1" applyFill="1" applyBorder="1" applyAlignment="1">
      <alignment horizontal="center" vertical="center" wrapText="1"/>
      <protection/>
    </xf>
    <xf numFmtId="0" fontId="7" fillId="0" borderId="15" xfId="51" applyFont="1" applyFill="1" applyBorder="1" applyAlignment="1">
      <alignment wrapText="1"/>
      <protection/>
    </xf>
    <xf numFmtId="0" fontId="7" fillId="0" borderId="21" xfId="51" applyFont="1" applyFill="1" applyBorder="1" applyAlignment="1">
      <alignment wrapText="1"/>
      <protection/>
    </xf>
    <xf numFmtId="0" fontId="64" fillId="0" borderId="23" xfId="0" applyFont="1" applyFill="1" applyBorder="1" applyAlignment="1">
      <alignment horizontal="left" wrapText="1"/>
    </xf>
    <xf numFmtId="165" fontId="64" fillId="0" borderId="24" xfId="51" applyNumberFormat="1" applyFont="1" applyFill="1" applyBorder="1" applyAlignment="1">
      <alignment vertical="center"/>
      <protection/>
    </xf>
    <xf numFmtId="2" fontId="64" fillId="0" borderId="24" xfId="51" applyNumberFormat="1" applyFont="1" applyFill="1" applyBorder="1" applyAlignment="1">
      <alignment vertical="center"/>
      <protection/>
    </xf>
    <xf numFmtId="3" fontId="64" fillId="0" borderId="24" xfId="51" applyNumberFormat="1" applyFont="1" applyFill="1" applyBorder="1" applyAlignment="1">
      <alignment horizontal="center" vertical="center"/>
      <protection/>
    </xf>
    <xf numFmtId="3" fontId="64" fillId="0" borderId="25" xfId="51" applyNumberFormat="1" applyFont="1" applyFill="1" applyBorder="1" applyAlignment="1">
      <alignment horizontal="center" vertical="center"/>
      <protection/>
    </xf>
    <xf numFmtId="165" fontId="0" fillId="0" borderId="10" xfId="0" applyNumberFormat="1" applyBorder="1" applyAlignment="1">
      <alignment horizontal="right" vertical="center"/>
    </xf>
    <xf numFmtId="165" fontId="0" fillId="0" borderId="26" xfId="0" applyNumberFormat="1" applyBorder="1" applyAlignment="1">
      <alignment horizontal="right" vertical="center"/>
    </xf>
    <xf numFmtId="0" fontId="0" fillId="0" borderId="0" xfId="0" applyAlignment="1">
      <alignment/>
    </xf>
    <xf numFmtId="165" fontId="7" fillId="0" borderId="10" xfId="51" applyNumberFormat="1" applyFont="1" applyFill="1" applyBorder="1" applyAlignment="1">
      <alignment vertical="center"/>
      <protection/>
    </xf>
    <xf numFmtId="165" fontId="6" fillId="0" borderId="10" xfId="51" applyNumberFormat="1" applyFont="1" applyFill="1" applyBorder="1" applyAlignment="1">
      <alignment vertical="center"/>
      <protection/>
    </xf>
    <xf numFmtId="3" fontId="7" fillId="0" borderId="10" xfId="51" applyNumberFormat="1" applyFont="1" applyFill="1" applyBorder="1" applyAlignment="1">
      <alignment horizontal="center"/>
      <protection/>
    </xf>
    <xf numFmtId="165" fontId="60" fillId="35" borderId="27" xfId="0" applyNumberFormat="1" applyFont="1" applyFill="1" applyBorder="1" applyAlignment="1">
      <alignment vertical="center"/>
    </xf>
    <xf numFmtId="165" fontId="60" fillId="35" borderId="28" xfId="0" applyNumberFormat="1" applyFont="1" applyFill="1" applyBorder="1" applyAlignment="1">
      <alignment vertical="center"/>
    </xf>
    <xf numFmtId="0" fontId="60" fillId="9" borderId="27" xfId="0" applyFont="1" applyFill="1" applyBorder="1" applyAlignment="1">
      <alignment vertical="center"/>
    </xf>
    <xf numFmtId="165" fontId="60" fillId="9" borderId="27" xfId="0" applyNumberFormat="1" applyFont="1" applyFill="1" applyBorder="1" applyAlignment="1">
      <alignment vertical="center"/>
    </xf>
    <xf numFmtId="0" fontId="60" fillId="36" borderId="27" xfId="0" applyFont="1" applyFill="1" applyBorder="1" applyAlignment="1">
      <alignment vertical="center"/>
    </xf>
    <xf numFmtId="0" fontId="0" fillId="0" borderId="0" xfId="0" applyBorder="1" applyAlignment="1">
      <alignment/>
    </xf>
    <xf numFmtId="9" fontId="7" fillId="0" borderId="10" xfId="50" applyFont="1" applyFill="1" applyBorder="1" applyAlignment="1">
      <alignment vertical="center"/>
    </xf>
    <xf numFmtId="165" fontId="60" fillId="37" borderId="27" xfId="0" applyNumberFormat="1" applyFont="1" applyFill="1" applyBorder="1" applyAlignment="1">
      <alignment vertical="center"/>
    </xf>
    <xf numFmtId="165" fontId="60" fillId="38" borderId="27" xfId="0" applyNumberFormat="1" applyFont="1" applyFill="1" applyBorder="1" applyAlignment="1">
      <alignment vertical="center"/>
    </xf>
    <xf numFmtId="0" fontId="7" fillId="0" borderId="10" xfId="51" applyFont="1" applyFill="1" applyBorder="1" applyAlignment="1">
      <alignment horizontal="right" wrapText="1"/>
      <protection/>
    </xf>
    <xf numFmtId="1" fontId="7" fillId="0" borderId="10" xfId="51" applyNumberFormat="1" applyFont="1" applyFill="1" applyBorder="1" applyAlignment="1">
      <alignment horizontal="right" vertical="center"/>
      <protection/>
    </xf>
    <xf numFmtId="0" fontId="63" fillId="0" borderId="10" xfId="0" applyFont="1" applyFill="1" applyBorder="1" applyAlignment="1">
      <alignment vertical="center" wrapText="1"/>
    </xf>
    <xf numFmtId="165" fontId="0" fillId="0" borderId="22" xfId="0" applyNumberFormat="1" applyBorder="1" applyAlignment="1">
      <alignment horizontal="right" vertical="center"/>
    </xf>
    <xf numFmtId="0" fontId="0" fillId="0" borderId="29" xfId="0" applyBorder="1" applyAlignment="1">
      <alignment/>
    </xf>
    <xf numFmtId="165" fontId="0" fillId="0" borderId="30" xfId="0" applyNumberFormat="1" applyBorder="1" applyAlignment="1">
      <alignment horizontal="right" vertical="center"/>
    </xf>
    <xf numFmtId="165" fontId="14" fillId="35" borderId="27" xfId="0" applyNumberFormat="1" applyFont="1" applyFill="1" applyBorder="1" applyAlignment="1">
      <alignment horizontal="right" vertical="center"/>
    </xf>
    <xf numFmtId="165" fontId="60" fillId="35" borderId="31" xfId="0" applyNumberFormat="1" applyFont="1" applyFill="1" applyBorder="1" applyAlignment="1">
      <alignment vertical="center"/>
    </xf>
    <xf numFmtId="165" fontId="60" fillId="35" borderId="32" xfId="0" applyNumberFormat="1" applyFont="1" applyFill="1" applyBorder="1" applyAlignment="1">
      <alignment vertical="center"/>
    </xf>
    <xf numFmtId="165" fontId="60" fillId="37" borderId="32" xfId="0" applyNumberFormat="1" applyFont="1" applyFill="1" applyBorder="1" applyAlignment="1">
      <alignment vertical="center"/>
    </xf>
    <xf numFmtId="165" fontId="60" fillId="38" borderId="32" xfId="0" applyNumberFormat="1" applyFont="1" applyFill="1" applyBorder="1" applyAlignment="1">
      <alignment vertical="center"/>
    </xf>
    <xf numFmtId="165" fontId="60" fillId="9" borderId="32" xfId="0" applyNumberFormat="1" applyFont="1" applyFill="1" applyBorder="1" applyAlignment="1">
      <alignment vertical="center"/>
    </xf>
    <xf numFmtId="0" fontId="60" fillId="9" borderId="32" xfId="0" applyFont="1" applyFill="1" applyBorder="1" applyAlignment="1">
      <alignment vertical="center"/>
    </xf>
    <xf numFmtId="165" fontId="60" fillId="36" borderId="32" xfId="0" applyNumberFormat="1" applyFont="1" applyFill="1" applyBorder="1" applyAlignment="1">
      <alignment vertical="center"/>
    </xf>
    <xf numFmtId="165" fontId="60" fillId="35" borderId="33" xfId="0" applyNumberFormat="1" applyFont="1" applyFill="1" applyBorder="1" applyAlignment="1">
      <alignment vertical="center"/>
    </xf>
    <xf numFmtId="0" fontId="0" fillId="0" borderId="34" xfId="0" applyBorder="1" applyAlignment="1">
      <alignment/>
    </xf>
    <xf numFmtId="165" fontId="64" fillId="0" borderId="10" xfId="51" applyNumberFormat="1" applyFont="1" applyFill="1" applyBorder="1" applyAlignment="1">
      <alignment vertical="center"/>
      <protection/>
    </xf>
    <xf numFmtId="0" fontId="60" fillId="0" borderId="0" xfId="0" applyFont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165" fontId="60" fillId="35" borderId="35" xfId="0" applyNumberFormat="1" applyFont="1" applyFill="1" applyBorder="1" applyAlignment="1">
      <alignment vertical="center"/>
    </xf>
    <xf numFmtId="165" fontId="60" fillId="37" borderId="36" xfId="0" applyNumberFormat="1" applyFont="1" applyFill="1" applyBorder="1" applyAlignment="1">
      <alignment vertical="center"/>
    </xf>
    <xf numFmtId="165" fontId="60" fillId="38" borderId="36" xfId="0" applyNumberFormat="1" applyFont="1" applyFill="1" applyBorder="1" applyAlignment="1">
      <alignment vertical="center"/>
    </xf>
    <xf numFmtId="165" fontId="60" fillId="9" borderId="3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right"/>
    </xf>
    <xf numFmtId="0" fontId="64" fillId="0" borderId="10" xfId="0" applyFont="1" applyFill="1" applyBorder="1" applyAlignment="1">
      <alignment horizontal="left"/>
    </xf>
    <xf numFmtId="4" fontId="64" fillId="0" borderId="10" xfId="51" applyNumberFormat="1" applyFont="1" applyFill="1" applyBorder="1" applyAlignment="1">
      <alignment horizontal="center"/>
      <protection/>
    </xf>
    <xf numFmtId="4" fontId="64" fillId="0" borderId="10" xfId="51" applyNumberFormat="1" applyFont="1" applyFill="1" applyBorder="1" applyAlignment="1">
      <alignment horizontal="center" wrapText="1"/>
      <protection/>
    </xf>
    <xf numFmtId="0" fontId="64" fillId="0" borderId="10" xfId="51" applyNumberFormat="1" applyFont="1" applyFill="1" applyBorder="1" applyAlignment="1">
      <alignment horizontal="right" vertical="center"/>
      <protection/>
    </xf>
    <xf numFmtId="1" fontId="64" fillId="0" borderId="10" xfId="51" applyNumberFormat="1" applyFont="1" applyFill="1" applyBorder="1" applyAlignment="1">
      <alignment vertical="center"/>
      <protection/>
    </xf>
    <xf numFmtId="0" fontId="64" fillId="0" borderId="10" xfId="0" applyFont="1" applyFill="1" applyBorder="1" applyAlignment="1">
      <alignment horizontal="center"/>
    </xf>
    <xf numFmtId="165" fontId="64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167" fontId="1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14" fillId="0" borderId="0" xfId="61" applyNumberFormat="1" applyFont="1" applyFill="1" applyBorder="1" applyAlignment="1">
      <alignment/>
    </xf>
    <xf numFmtId="167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/>
    </xf>
    <xf numFmtId="165" fontId="14" fillId="0" borderId="0" xfId="0" applyNumberFormat="1" applyFont="1" applyBorder="1" applyAlignment="1">
      <alignment/>
    </xf>
    <xf numFmtId="165" fontId="60" fillId="34" borderId="0" xfId="0" applyNumberFormat="1" applyFont="1" applyFill="1" applyBorder="1" applyAlignment="1">
      <alignment vertical="center"/>
    </xf>
    <xf numFmtId="165" fontId="0" fillId="0" borderId="29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6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/>
    </xf>
    <xf numFmtId="4" fontId="54" fillId="0" borderId="10" xfId="0" applyNumberFormat="1" applyFont="1" applyBorder="1" applyAlignment="1">
      <alignment horizontal="right"/>
    </xf>
    <xf numFmtId="0" fontId="64" fillId="0" borderId="10" xfId="51" applyFont="1" applyFill="1" applyBorder="1" applyAlignment="1">
      <alignment horizontal="right" vertical="top" wrapText="1"/>
      <protection/>
    </xf>
    <xf numFmtId="4" fontId="64" fillId="0" borderId="10" xfId="51" applyNumberFormat="1" applyFont="1" applyFill="1" applyBorder="1" applyAlignment="1">
      <alignment horizontal="right" vertical="top" wrapText="1"/>
      <protection/>
    </xf>
    <xf numFmtId="3" fontId="64" fillId="0" borderId="10" xfId="51" applyNumberFormat="1" applyFont="1" applyFill="1" applyBorder="1" applyAlignment="1">
      <alignment horizontal="right" vertical="center"/>
      <protection/>
    </xf>
    <xf numFmtId="0" fontId="54" fillId="0" borderId="0" xfId="0" applyFont="1" applyBorder="1" applyAlignment="1">
      <alignment/>
    </xf>
    <xf numFmtId="165" fontId="64" fillId="0" borderId="0" xfId="51" applyNumberFormat="1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165" fontId="6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54" fillId="0" borderId="10" xfId="0" applyNumberFormat="1" applyFont="1" applyBorder="1" applyAlignment="1">
      <alignment/>
    </xf>
    <xf numFmtId="168" fontId="0" fillId="0" borderId="22" xfId="0" applyNumberFormat="1" applyBorder="1" applyAlignment="1">
      <alignment/>
    </xf>
    <xf numFmtId="0" fontId="60" fillId="0" borderId="0" xfId="0" applyFont="1" applyAlignment="1">
      <alignment/>
    </xf>
    <xf numFmtId="165" fontId="6" fillId="33" borderId="37" xfId="51" applyNumberFormat="1" applyFont="1" applyFill="1" applyBorder="1" applyAlignment="1">
      <alignment vertic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65" fontId="0" fillId="0" borderId="0" xfId="0" applyNumberFormat="1" applyBorder="1" applyAlignment="1">
      <alignment vertical="center"/>
    </xf>
    <xf numFmtId="0" fontId="0" fillId="34" borderId="0" xfId="0" applyFill="1" applyBorder="1" applyAlignment="1">
      <alignment/>
    </xf>
    <xf numFmtId="165" fontId="0" fillId="34" borderId="0" xfId="0" applyNumberFormat="1" applyFill="1" applyBorder="1" applyAlignment="1">
      <alignment/>
    </xf>
    <xf numFmtId="167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0" fontId="21" fillId="0" borderId="12" xfId="51" applyFont="1" applyFill="1" applyBorder="1" applyAlignment="1">
      <alignment horizontal="center" vertical="center" wrapText="1"/>
      <protection/>
    </xf>
    <xf numFmtId="0" fontId="21" fillId="0" borderId="12" xfId="51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166" fontId="22" fillId="0" borderId="12" xfId="0" applyNumberFormat="1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vertical="center"/>
    </xf>
    <xf numFmtId="167" fontId="22" fillId="0" borderId="0" xfId="0" applyNumberFormat="1" applyFont="1" applyBorder="1" applyAlignment="1">
      <alignment/>
    </xf>
    <xf numFmtId="167" fontId="19" fillId="0" borderId="0" xfId="61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/>
    </xf>
    <xf numFmtId="166" fontId="19" fillId="0" borderId="12" xfId="0" applyNumberFormat="1" applyFont="1" applyFill="1" applyBorder="1" applyAlignment="1">
      <alignment vertical="center"/>
    </xf>
    <xf numFmtId="166" fontId="19" fillId="0" borderId="1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167" fontId="19" fillId="0" borderId="0" xfId="0" applyNumberFormat="1" applyFont="1" applyBorder="1" applyAlignment="1">
      <alignment/>
    </xf>
    <xf numFmtId="0" fontId="69" fillId="0" borderId="12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10" fontId="21" fillId="0" borderId="10" xfId="0" applyNumberFormat="1" applyFont="1" applyFill="1" applyBorder="1" applyAlignment="1">
      <alignment horizontal="right" vertical="center" wrapText="1"/>
    </xf>
    <xf numFmtId="165" fontId="25" fillId="0" borderId="12" xfId="51" applyNumberFormat="1" applyFont="1" applyFill="1" applyBorder="1" applyAlignment="1">
      <alignment vertical="center"/>
      <protection/>
    </xf>
    <xf numFmtId="165" fontId="21" fillId="0" borderId="10" xfId="51" applyNumberFormat="1" applyFont="1" applyFill="1" applyBorder="1" applyAlignment="1">
      <alignment vertical="center"/>
      <protection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70" fillId="0" borderId="12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165" fontId="25" fillId="0" borderId="10" xfId="51" applyNumberFormat="1" applyFont="1" applyFill="1" applyBorder="1" applyAlignment="1">
      <alignment vertical="center"/>
      <protection/>
    </xf>
    <xf numFmtId="165" fontId="19" fillId="0" borderId="10" xfId="0" applyNumberFormat="1" applyFont="1" applyBorder="1" applyAlignment="1">
      <alignment/>
    </xf>
    <xf numFmtId="0" fontId="70" fillId="0" borderId="10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22" fillId="0" borderId="0" xfId="0" applyFont="1" applyAlignment="1">
      <alignment/>
    </xf>
    <xf numFmtId="165" fontId="19" fillId="0" borderId="0" xfId="0" applyNumberFormat="1" applyFont="1" applyAlignment="1">
      <alignment/>
    </xf>
    <xf numFmtId="165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/>
    </xf>
    <xf numFmtId="165" fontId="19" fillId="0" borderId="26" xfId="0" applyNumberFormat="1" applyFont="1" applyFill="1" applyBorder="1" applyAlignment="1">
      <alignment/>
    </xf>
    <xf numFmtId="166" fontId="19" fillId="0" borderId="10" xfId="0" applyNumberFormat="1" applyFont="1" applyFill="1" applyBorder="1" applyAlignment="1">
      <alignment/>
    </xf>
    <xf numFmtId="0" fontId="69" fillId="0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 vertical="center"/>
    </xf>
    <xf numFmtId="9" fontId="68" fillId="0" borderId="0" xfId="0" applyNumberFormat="1" applyFont="1" applyBorder="1" applyAlignment="1">
      <alignment/>
    </xf>
    <xf numFmtId="9" fontId="18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0" fontId="0" fillId="0" borderId="38" xfId="0" applyBorder="1" applyAlignment="1">
      <alignment/>
    </xf>
    <xf numFmtId="165" fontId="60" fillId="0" borderId="38" xfId="0" applyNumberFormat="1" applyFont="1" applyBorder="1" applyAlignment="1">
      <alignment/>
    </xf>
    <xf numFmtId="0" fontId="60" fillId="0" borderId="38" xfId="0" applyFont="1" applyBorder="1" applyAlignment="1">
      <alignment/>
    </xf>
    <xf numFmtId="165" fontId="54" fillId="0" borderId="38" xfId="0" applyNumberFormat="1" applyFont="1" applyBorder="1" applyAlignment="1">
      <alignment/>
    </xf>
    <xf numFmtId="0" fontId="54" fillId="0" borderId="38" xfId="0" applyFont="1" applyBorder="1" applyAlignment="1">
      <alignment/>
    </xf>
    <xf numFmtId="0" fontId="64" fillId="0" borderId="22" xfId="0" applyFont="1" applyFill="1" applyBorder="1" applyAlignment="1">
      <alignment/>
    </xf>
    <xf numFmtId="0" fontId="54" fillId="0" borderId="26" xfId="0" applyFont="1" applyBorder="1" applyAlignment="1">
      <alignment/>
    </xf>
    <xf numFmtId="0" fontId="54" fillId="0" borderId="11" xfId="0" applyFont="1" applyBorder="1" applyAlignment="1">
      <alignment/>
    </xf>
    <xf numFmtId="165" fontId="64" fillId="0" borderId="39" xfId="51" applyNumberFormat="1" applyFont="1" applyFill="1" applyBorder="1">
      <alignment/>
      <protection/>
    </xf>
    <xf numFmtId="0" fontId="71" fillId="0" borderId="0" xfId="0" applyFont="1" applyBorder="1" applyAlignment="1">
      <alignment/>
    </xf>
    <xf numFmtId="0" fontId="68" fillId="0" borderId="0" xfId="0" applyFont="1" applyAlignment="1">
      <alignment/>
    </xf>
    <xf numFmtId="0" fontId="72" fillId="0" borderId="0" xfId="0" applyFont="1" applyAlignment="1">
      <alignment/>
    </xf>
    <xf numFmtId="0" fontId="29" fillId="0" borderId="0" xfId="0" applyFont="1" applyAlignment="1">
      <alignment/>
    </xf>
    <xf numFmtId="9" fontId="2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165" fontId="0" fillId="0" borderId="40" xfId="0" applyNumberFormat="1" applyBorder="1" applyAlignment="1">
      <alignment horizontal="right" vertical="center"/>
    </xf>
    <xf numFmtId="165" fontId="0" fillId="0" borderId="41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12" xfId="0" applyNumberFormat="1" applyBorder="1" applyAlignment="1">
      <alignment horizontal="right" vertical="center"/>
    </xf>
    <xf numFmtId="165" fontId="0" fillId="0" borderId="42" xfId="0" applyNumberFormat="1" applyBorder="1" applyAlignment="1">
      <alignment horizontal="right" vertical="center"/>
    </xf>
    <xf numFmtId="165" fontId="14" fillId="35" borderId="32" xfId="0" applyNumberFormat="1" applyFont="1" applyFill="1" applyBorder="1" applyAlignment="1">
      <alignment horizontal="right" vertical="center"/>
    </xf>
    <xf numFmtId="165" fontId="0" fillId="0" borderId="43" xfId="0" applyNumberFormat="1" applyBorder="1" applyAlignment="1">
      <alignment/>
    </xf>
    <xf numFmtId="0" fontId="60" fillId="0" borderId="44" xfId="0" applyFont="1" applyBorder="1" applyAlignment="1">
      <alignment vertical="center" wrapText="1"/>
    </xf>
    <xf numFmtId="0" fontId="60" fillId="35" borderId="45" xfId="0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60" fillId="35" borderId="45" xfId="0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60" fillId="35" borderId="48" xfId="0" applyFont="1" applyFill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60" fillId="37" borderId="48" xfId="0" applyFont="1" applyFill="1" applyBorder="1" applyAlignment="1">
      <alignment horizontal="right" vertical="center"/>
    </xf>
    <xf numFmtId="0" fontId="60" fillId="38" borderId="48" xfId="0" applyFont="1" applyFill="1" applyBorder="1" applyAlignment="1">
      <alignment horizontal="right" vertical="center"/>
    </xf>
    <xf numFmtId="0" fontId="60" fillId="9" borderId="48" xfId="0" applyFont="1" applyFill="1" applyBorder="1" applyAlignment="1">
      <alignment horizontal="right" vertical="center"/>
    </xf>
    <xf numFmtId="0" fontId="60" fillId="36" borderId="48" xfId="0" applyFont="1" applyFill="1" applyBorder="1" applyAlignment="1">
      <alignment horizontal="right" vertical="center"/>
    </xf>
    <xf numFmtId="0" fontId="60" fillId="36" borderId="49" xfId="0" applyFont="1" applyFill="1" applyBorder="1" applyAlignment="1">
      <alignment horizontal="right" vertical="center"/>
    </xf>
    <xf numFmtId="0" fontId="60" fillId="36" borderId="31" xfId="0" applyFont="1" applyFill="1" applyBorder="1" applyAlignment="1">
      <alignment horizontal="right" vertical="center"/>
    </xf>
    <xf numFmtId="0" fontId="60" fillId="35" borderId="50" xfId="0" applyFont="1" applyFill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60" fillId="35" borderId="50" xfId="0" applyFont="1" applyFill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60" fillId="35" borderId="55" xfId="0" applyFont="1" applyFill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60" fillId="37" borderId="55" xfId="0" applyFont="1" applyFill="1" applyBorder="1" applyAlignment="1">
      <alignment vertical="center" wrapText="1"/>
    </xf>
    <xf numFmtId="0" fontId="60" fillId="38" borderId="55" xfId="0" applyFont="1" applyFill="1" applyBorder="1" applyAlignment="1">
      <alignment vertical="center" wrapText="1"/>
    </xf>
    <xf numFmtId="0" fontId="60" fillId="9" borderId="55" xfId="0" applyFont="1" applyFill="1" applyBorder="1" applyAlignment="1">
      <alignment vertical="center" wrapText="1"/>
    </xf>
    <xf numFmtId="0" fontId="60" fillId="36" borderId="55" xfId="0" applyFont="1" applyFill="1" applyBorder="1" applyAlignment="1">
      <alignment vertical="center" wrapText="1"/>
    </xf>
    <xf numFmtId="0" fontId="60" fillId="36" borderId="56" xfId="0" applyFont="1" applyFill="1" applyBorder="1" applyAlignment="1">
      <alignment vertical="center" wrapText="1"/>
    </xf>
    <xf numFmtId="165" fontId="60" fillId="35" borderId="36" xfId="0" applyNumberFormat="1" applyFont="1" applyFill="1" applyBorder="1" applyAlignment="1">
      <alignment vertical="center"/>
    </xf>
    <xf numFmtId="3" fontId="60" fillId="9" borderId="36" xfId="0" applyNumberFormat="1" applyFont="1" applyFill="1" applyBorder="1" applyAlignment="1">
      <alignment vertical="center"/>
    </xf>
    <xf numFmtId="0" fontId="60" fillId="36" borderId="36" xfId="0" applyFont="1" applyFill="1" applyBorder="1" applyAlignment="1">
      <alignment vertical="center"/>
    </xf>
    <xf numFmtId="0" fontId="60" fillId="35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0" fillId="35" borderId="5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0" fillId="35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0" fillId="37" borderId="55" xfId="0" applyFont="1" applyFill="1" applyBorder="1" applyAlignment="1">
      <alignment horizontal="center" vertical="center"/>
    </xf>
    <xf numFmtId="0" fontId="60" fillId="38" borderId="55" xfId="0" applyFont="1" applyFill="1" applyBorder="1" applyAlignment="1">
      <alignment horizontal="center" vertical="center"/>
    </xf>
    <xf numFmtId="0" fontId="60" fillId="9" borderId="55" xfId="0" applyFont="1" applyFill="1" applyBorder="1" applyAlignment="1">
      <alignment horizontal="center" vertical="center"/>
    </xf>
    <xf numFmtId="0" fontId="60" fillId="36" borderId="55" xfId="0" applyFont="1" applyFill="1" applyBorder="1" applyAlignment="1">
      <alignment horizontal="center" vertical="center"/>
    </xf>
    <xf numFmtId="9" fontId="60" fillId="36" borderId="55" xfId="0" applyNumberFormat="1" applyFont="1" applyFill="1" applyBorder="1" applyAlignment="1">
      <alignment horizontal="center" vertical="center"/>
    </xf>
    <xf numFmtId="0" fontId="60" fillId="36" borderId="56" xfId="0" applyFont="1" applyFill="1" applyBorder="1" applyAlignment="1">
      <alignment horizontal="center" vertical="center"/>
    </xf>
    <xf numFmtId="0" fontId="60" fillId="0" borderId="37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165" fontId="0" fillId="0" borderId="59" xfId="0" applyNumberFormat="1" applyBorder="1" applyAlignment="1">
      <alignment horizontal="right" vertical="center"/>
    </xf>
    <xf numFmtId="165" fontId="0" fillId="0" borderId="14" xfId="0" applyNumberFormat="1" applyBorder="1" applyAlignment="1">
      <alignment horizontal="right" vertical="center"/>
    </xf>
    <xf numFmtId="165" fontId="0" fillId="0" borderId="60" xfId="0" applyNumberFormat="1" applyBorder="1" applyAlignment="1">
      <alignment horizontal="right" vertical="center"/>
    </xf>
    <xf numFmtId="165" fontId="14" fillId="35" borderId="36" xfId="0" applyNumberFormat="1" applyFont="1" applyFill="1" applyBorder="1" applyAlignment="1">
      <alignment horizontal="right" vertical="center"/>
    </xf>
    <xf numFmtId="0" fontId="60" fillId="0" borderId="61" xfId="0" applyFont="1" applyBorder="1" applyAlignment="1">
      <alignment horizontal="center" vertical="center" wrapText="1"/>
    </xf>
    <xf numFmtId="165" fontId="60" fillId="35" borderId="50" xfId="0" applyNumberFormat="1" applyFont="1" applyFill="1" applyBorder="1" applyAlignment="1">
      <alignment vertical="center"/>
    </xf>
    <xf numFmtId="165" fontId="0" fillId="0" borderId="51" xfId="0" applyNumberFormat="1" applyFont="1" applyFill="1" applyBorder="1" applyAlignment="1">
      <alignment vertical="center"/>
    </xf>
    <xf numFmtId="165" fontId="0" fillId="0" borderId="52" xfId="0" applyNumberFormat="1" applyFont="1" applyFill="1" applyBorder="1" applyAlignment="1">
      <alignment vertical="center"/>
    </xf>
    <xf numFmtId="165" fontId="0" fillId="0" borderId="53" xfId="0" applyNumberFormat="1" applyFont="1" applyFill="1" applyBorder="1" applyAlignment="1">
      <alignment vertical="center"/>
    </xf>
    <xf numFmtId="165" fontId="0" fillId="0" borderId="54" xfId="0" applyNumberFormat="1" applyFont="1" applyFill="1" applyBorder="1" applyAlignment="1">
      <alignment vertical="center"/>
    </xf>
    <xf numFmtId="165" fontId="60" fillId="35" borderId="55" xfId="0" applyNumberFormat="1" applyFont="1" applyFill="1" applyBorder="1" applyAlignment="1">
      <alignment vertical="center"/>
    </xf>
    <xf numFmtId="165" fontId="0" fillId="0" borderId="55" xfId="0" applyNumberFormat="1" applyFont="1" applyFill="1" applyBorder="1" applyAlignment="1">
      <alignment vertical="center"/>
    </xf>
    <xf numFmtId="165" fontId="60" fillId="37" borderId="55" xfId="0" applyNumberFormat="1" applyFont="1" applyFill="1" applyBorder="1" applyAlignment="1">
      <alignment vertical="center"/>
    </xf>
    <xf numFmtId="165" fontId="60" fillId="38" borderId="55" xfId="0" applyNumberFormat="1" applyFont="1" applyFill="1" applyBorder="1" applyAlignment="1">
      <alignment vertical="center"/>
    </xf>
    <xf numFmtId="165" fontId="60" fillId="9" borderId="55" xfId="0" applyNumberFormat="1" applyFont="1" applyFill="1" applyBorder="1" applyAlignment="1">
      <alignment vertical="center"/>
    </xf>
    <xf numFmtId="0" fontId="60" fillId="9" borderId="55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65" fontId="60" fillId="36" borderId="55" xfId="0" applyNumberFormat="1" applyFont="1" applyFill="1" applyBorder="1" applyAlignment="1">
      <alignment vertical="center"/>
    </xf>
    <xf numFmtId="165" fontId="60" fillId="36" borderId="56" xfId="0" applyNumberFormat="1" applyFont="1" applyFill="1" applyBorder="1" applyAlignment="1">
      <alignment vertical="center"/>
    </xf>
    <xf numFmtId="165" fontId="60" fillId="35" borderId="0" xfId="0" applyNumberFormat="1" applyFont="1" applyFill="1" applyBorder="1" applyAlignment="1">
      <alignment vertical="center"/>
    </xf>
    <xf numFmtId="165" fontId="0" fillId="0" borderId="62" xfId="0" applyNumberFormat="1" applyBorder="1" applyAlignment="1">
      <alignment vertical="center"/>
    </xf>
    <xf numFmtId="165" fontId="0" fillId="0" borderId="52" xfId="0" applyNumberFormat="1" applyBorder="1" applyAlignment="1">
      <alignment vertical="center"/>
    </xf>
    <xf numFmtId="0" fontId="0" fillId="0" borderId="53" xfId="0" applyBorder="1" applyAlignment="1">
      <alignment vertical="center"/>
    </xf>
    <xf numFmtId="165" fontId="0" fillId="0" borderId="51" xfId="0" applyNumberFormat="1" applyBorder="1" applyAlignment="1">
      <alignment vertical="center"/>
    </xf>
    <xf numFmtId="165" fontId="0" fillId="0" borderId="54" xfId="0" applyNumberFormat="1" applyBorder="1" applyAlignment="1">
      <alignment vertical="center"/>
    </xf>
    <xf numFmtId="165" fontId="0" fillId="0" borderId="53" xfId="0" applyNumberFormat="1" applyBorder="1" applyAlignment="1">
      <alignment vertical="center"/>
    </xf>
    <xf numFmtId="3" fontId="60" fillId="9" borderId="55" xfId="0" applyNumberFormat="1" applyFont="1" applyFill="1" applyBorder="1" applyAlignment="1">
      <alignment vertical="center"/>
    </xf>
    <xf numFmtId="0" fontId="60" fillId="36" borderId="55" xfId="0" applyFont="1" applyFill="1" applyBorder="1" applyAlignment="1">
      <alignment vertical="center"/>
    </xf>
    <xf numFmtId="0" fontId="60" fillId="36" borderId="56" xfId="0" applyFont="1" applyFill="1" applyBorder="1" applyAlignment="1">
      <alignment vertical="center"/>
    </xf>
    <xf numFmtId="0" fontId="60" fillId="0" borderId="44" xfId="0" applyFont="1" applyBorder="1" applyAlignment="1">
      <alignment/>
    </xf>
    <xf numFmtId="0" fontId="0" fillId="0" borderId="44" xfId="0" applyBorder="1" applyAlignment="1">
      <alignment/>
    </xf>
    <xf numFmtId="0" fontId="60" fillId="0" borderId="37" xfId="0" applyFont="1" applyBorder="1" applyAlignment="1">
      <alignment horizontal="center" vertical="center"/>
    </xf>
    <xf numFmtId="10" fontId="50" fillId="0" borderId="63" xfId="43" applyNumberFormat="1" applyBorder="1" applyAlignment="1">
      <alignment/>
    </xf>
    <xf numFmtId="165" fontId="0" fillId="0" borderId="46" xfId="0" applyNumberFormat="1" applyBorder="1" applyAlignment="1">
      <alignment horizontal="right" vertical="center"/>
    </xf>
    <xf numFmtId="165" fontId="0" fillId="0" borderId="52" xfId="0" applyNumberFormat="1" applyBorder="1" applyAlignment="1">
      <alignment horizontal="right" vertical="center"/>
    </xf>
    <xf numFmtId="165" fontId="0" fillId="0" borderId="54" xfId="0" applyNumberFormat="1" applyBorder="1" applyAlignment="1">
      <alignment/>
    </xf>
    <xf numFmtId="165" fontId="60" fillId="35" borderId="52" xfId="0" applyNumberFormat="1" applyFont="1" applyFill="1" applyBorder="1" applyAlignment="1">
      <alignment vertical="center"/>
    </xf>
    <xf numFmtId="165" fontId="0" fillId="0" borderId="53" xfId="0" applyNumberFormat="1" applyBorder="1" applyAlignment="1">
      <alignment horizontal="right" vertical="center"/>
    </xf>
    <xf numFmtId="165" fontId="60" fillId="35" borderId="51" xfId="0" applyNumberFormat="1" applyFont="1" applyFill="1" applyBorder="1" applyAlignment="1">
      <alignment vertical="center"/>
    </xf>
    <xf numFmtId="165" fontId="60" fillId="35" borderId="53" xfId="0" applyNumberFormat="1" applyFont="1" applyFill="1" applyBorder="1" applyAlignment="1">
      <alignment vertical="center"/>
    </xf>
    <xf numFmtId="0" fontId="0" fillId="0" borderId="50" xfId="0" applyBorder="1" applyAlignment="1">
      <alignment/>
    </xf>
    <xf numFmtId="165" fontId="60" fillId="37" borderId="51" xfId="0" applyNumberFormat="1" applyFont="1" applyFill="1" applyBorder="1" applyAlignment="1">
      <alignment vertical="center"/>
    </xf>
    <xf numFmtId="165" fontId="14" fillId="37" borderId="53" xfId="0" applyNumberFormat="1" applyFont="1" applyFill="1" applyBorder="1" applyAlignment="1">
      <alignment vertical="center"/>
    </xf>
    <xf numFmtId="165" fontId="60" fillId="38" borderId="50" xfId="0" applyNumberFormat="1" applyFont="1" applyFill="1" applyBorder="1" applyAlignment="1">
      <alignment vertical="center"/>
    </xf>
    <xf numFmtId="0" fontId="0" fillId="0" borderId="57" xfId="0" applyBorder="1" applyAlignment="1">
      <alignment/>
    </xf>
    <xf numFmtId="0" fontId="60" fillId="0" borderId="23" xfId="0" applyFont="1" applyBorder="1" applyAlignment="1">
      <alignment horizontal="center" vertical="center"/>
    </xf>
    <xf numFmtId="165" fontId="60" fillId="35" borderId="34" xfId="0" applyNumberFormat="1" applyFont="1" applyFill="1" applyBorder="1" applyAlignment="1">
      <alignment vertical="center"/>
    </xf>
    <xf numFmtId="165" fontId="0" fillId="0" borderId="64" xfId="0" applyNumberFormat="1" applyBorder="1" applyAlignment="1">
      <alignment vertical="center"/>
    </xf>
    <xf numFmtId="165" fontId="0" fillId="0" borderId="46" xfId="0" applyNumberFormat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17" xfId="0" applyNumberFormat="1" applyBorder="1" applyAlignment="1">
      <alignment horizontal="right" vertical="center"/>
    </xf>
    <xf numFmtId="165" fontId="60" fillId="35" borderId="17" xfId="0" applyNumberFormat="1" applyFont="1" applyFill="1" applyBorder="1" applyAlignment="1">
      <alignment vertical="center"/>
    </xf>
    <xf numFmtId="165" fontId="0" fillId="0" borderId="47" xfId="0" applyNumberFormat="1" applyBorder="1" applyAlignment="1">
      <alignment horizontal="right" vertical="center"/>
    </xf>
    <xf numFmtId="165" fontId="60" fillId="35" borderId="46" xfId="0" applyNumberFormat="1" applyFont="1" applyFill="1" applyBorder="1" applyAlignment="1">
      <alignment vertical="center"/>
    </xf>
    <xf numFmtId="165" fontId="60" fillId="35" borderId="47" xfId="0" applyNumberFormat="1" applyFont="1" applyFill="1" applyBorder="1" applyAlignment="1">
      <alignment vertical="center"/>
    </xf>
    <xf numFmtId="165" fontId="14" fillId="35" borderId="46" xfId="0" applyNumberFormat="1" applyFont="1" applyFill="1" applyBorder="1" applyAlignment="1">
      <alignment horizontal="right" vertical="center"/>
    </xf>
    <xf numFmtId="165" fontId="14" fillId="35" borderId="17" xfId="0" applyNumberFormat="1" applyFont="1" applyFill="1" applyBorder="1" applyAlignment="1">
      <alignment horizontal="right" vertical="center"/>
    </xf>
    <xf numFmtId="165" fontId="14" fillId="35" borderId="47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/>
    </xf>
    <xf numFmtId="165" fontId="60" fillId="37" borderId="46" xfId="0" applyNumberFormat="1" applyFont="1" applyFill="1" applyBorder="1" applyAlignment="1">
      <alignment vertical="center"/>
    </xf>
    <xf numFmtId="165" fontId="14" fillId="37" borderId="47" xfId="0" applyNumberFormat="1" applyFont="1" applyFill="1" applyBorder="1" applyAlignment="1">
      <alignment vertical="center"/>
    </xf>
    <xf numFmtId="165" fontId="60" fillId="38" borderId="45" xfId="0" applyNumberFormat="1" applyFont="1" applyFill="1" applyBorder="1" applyAlignment="1">
      <alignment vertical="center"/>
    </xf>
    <xf numFmtId="165" fontId="60" fillId="38" borderId="48" xfId="0" applyNumberFormat="1" applyFont="1" applyFill="1" applyBorder="1" applyAlignment="1">
      <alignment vertical="center"/>
    </xf>
    <xf numFmtId="165" fontId="60" fillId="9" borderId="48" xfId="0" applyNumberFormat="1" applyFont="1" applyFill="1" applyBorder="1" applyAlignment="1">
      <alignment vertical="center"/>
    </xf>
    <xf numFmtId="3" fontId="60" fillId="9" borderId="48" xfId="0" applyNumberFormat="1" applyFont="1" applyFill="1" applyBorder="1" applyAlignment="1">
      <alignment vertical="center"/>
    </xf>
    <xf numFmtId="0" fontId="60" fillId="36" borderId="48" xfId="0" applyFont="1" applyFill="1" applyBorder="1" applyAlignment="1">
      <alignment vertical="center"/>
    </xf>
    <xf numFmtId="0" fontId="60" fillId="36" borderId="49" xfId="0" applyFont="1" applyFill="1" applyBorder="1" applyAlignment="1">
      <alignment vertical="center"/>
    </xf>
    <xf numFmtId="0" fontId="60" fillId="0" borderId="61" xfId="0" applyFont="1" applyBorder="1" applyAlignment="1">
      <alignment horizontal="center" vertical="center"/>
    </xf>
    <xf numFmtId="165" fontId="60" fillId="35" borderId="50" xfId="0" applyNumberFormat="1" applyFont="1" applyFill="1" applyBorder="1" applyAlignment="1">
      <alignment horizontal="right" vertical="center"/>
    </xf>
    <xf numFmtId="165" fontId="0" fillId="0" borderId="51" xfId="0" applyNumberFormat="1" applyBorder="1" applyAlignment="1">
      <alignment horizontal="right" vertical="center"/>
    </xf>
    <xf numFmtId="165" fontId="54" fillId="0" borderId="51" xfId="0" applyNumberFormat="1" applyFont="1" applyBorder="1" applyAlignment="1">
      <alignment horizontal="right" vertical="center"/>
    </xf>
    <xf numFmtId="165" fontId="0" fillId="0" borderId="50" xfId="0" applyNumberFormat="1" applyBorder="1" applyAlignment="1">
      <alignment/>
    </xf>
    <xf numFmtId="165" fontId="0" fillId="39" borderId="52" xfId="0" applyNumberFormat="1" applyFill="1" applyBorder="1" applyAlignment="1">
      <alignment horizontal="right" vertical="center"/>
    </xf>
    <xf numFmtId="165" fontId="60" fillId="39" borderId="55" xfId="0" applyNumberFormat="1" applyFont="1" applyFill="1" applyBorder="1" applyAlignment="1">
      <alignment vertical="center"/>
    </xf>
    <xf numFmtId="165" fontId="60" fillId="39" borderId="56" xfId="0" applyNumberFormat="1" applyFont="1" applyFill="1" applyBorder="1" applyAlignment="1">
      <alignment vertical="center"/>
    </xf>
    <xf numFmtId="10" fontId="30" fillId="34" borderId="37" xfId="43" applyNumberFormat="1" applyFont="1" applyFill="1" applyBorder="1" applyAlignment="1">
      <alignment horizontal="center"/>
    </xf>
    <xf numFmtId="165" fontId="69" fillId="0" borderId="12" xfId="0" applyNumberFormat="1" applyFont="1" applyFill="1" applyBorder="1" applyAlignment="1">
      <alignment horizontal="center"/>
    </xf>
    <xf numFmtId="3" fontId="6" fillId="33" borderId="0" xfId="51" applyNumberFormat="1" applyFont="1" applyFill="1" applyBorder="1" applyAlignment="1">
      <alignment horizontal="center" vertical="center" wrapText="1"/>
      <protection/>
    </xf>
    <xf numFmtId="165" fontId="60" fillId="0" borderId="0" xfId="0" applyNumberFormat="1" applyFont="1" applyBorder="1" applyAlignment="1">
      <alignment/>
    </xf>
    <xf numFmtId="165" fontId="6" fillId="0" borderId="0" xfId="51" applyNumberFormat="1" applyFont="1" applyFill="1" applyBorder="1">
      <alignment/>
      <protection/>
    </xf>
    <xf numFmtId="168" fontId="0" fillId="0" borderId="0" xfId="0" applyNumberFormat="1" applyBorder="1" applyAlignment="1">
      <alignment/>
    </xf>
    <xf numFmtId="165" fontId="54" fillId="0" borderId="0" xfId="0" applyNumberFormat="1" applyFont="1" applyBorder="1" applyAlignment="1">
      <alignment/>
    </xf>
    <xf numFmtId="10" fontId="0" fillId="0" borderId="0" xfId="50" applyNumberFormat="1" applyFont="1" applyAlignment="1">
      <alignment/>
    </xf>
    <xf numFmtId="165" fontId="8" fillId="0" borderId="51" xfId="0" applyNumberFormat="1" applyFont="1" applyBorder="1" applyAlignment="1">
      <alignment horizontal="right" vertical="center"/>
    </xf>
    <xf numFmtId="165" fontId="54" fillId="0" borderId="52" xfId="0" applyNumberFormat="1" applyFont="1" applyBorder="1" applyAlignment="1">
      <alignment horizontal="right" vertical="center"/>
    </xf>
    <xf numFmtId="165" fontId="54" fillId="0" borderId="53" xfId="0" applyNumberFormat="1" applyFont="1" applyBorder="1" applyAlignment="1">
      <alignment horizontal="right" vertical="center"/>
    </xf>
    <xf numFmtId="0" fontId="0" fillId="0" borderId="39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65" fontId="60" fillId="0" borderId="67" xfId="0" applyNumberFormat="1" applyFont="1" applyBorder="1" applyAlignment="1">
      <alignment/>
    </xf>
    <xf numFmtId="2" fontId="7" fillId="0" borderId="66" xfId="51" applyNumberFormat="1" applyFont="1" applyFill="1" applyBorder="1" applyAlignment="1">
      <alignment vertical="center"/>
      <protection/>
    </xf>
    <xf numFmtId="0" fontId="54" fillId="0" borderId="68" xfId="0" applyFont="1" applyBorder="1" applyAlignment="1">
      <alignment/>
    </xf>
    <xf numFmtId="165" fontId="60" fillId="0" borderId="68" xfId="0" applyNumberFormat="1" applyFont="1" applyBorder="1" applyAlignment="1">
      <alignment/>
    </xf>
    <xf numFmtId="3" fontId="6" fillId="33" borderId="69" xfId="51" applyNumberFormat="1" applyFont="1" applyFill="1" applyBorder="1" applyAlignment="1">
      <alignment horizontal="center" vertical="center" wrapText="1"/>
      <protection/>
    </xf>
    <xf numFmtId="165" fontId="7" fillId="0" borderId="70" xfId="51" applyNumberFormat="1" applyFont="1" applyFill="1" applyBorder="1" applyAlignment="1">
      <alignment vertical="center"/>
      <protection/>
    </xf>
    <xf numFmtId="165" fontId="7" fillId="0" borderId="71" xfId="51" applyNumberFormat="1" applyFont="1" applyFill="1" applyBorder="1" applyAlignment="1">
      <alignment vertical="center"/>
      <protection/>
    </xf>
    <xf numFmtId="165" fontId="6" fillId="0" borderId="72" xfId="51" applyNumberFormat="1" applyFont="1" applyFill="1" applyBorder="1" applyAlignment="1">
      <alignment vertical="center"/>
      <protection/>
    </xf>
    <xf numFmtId="165" fontId="7" fillId="0" borderId="71" xfId="51" applyNumberFormat="1" applyFont="1" applyFill="1" applyBorder="1" applyAlignment="1">
      <alignment vertical="center"/>
      <protection/>
    </xf>
    <xf numFmtId="165" fontId="73" fillId="0" borderId="73" xfId="51" applyNumberFormat="1" applyFont="1" applyFill="1" applyBorder="1" applyAlignment="1">
      <alignment vertical="center"/>
      <protection/>
    </xf>
    <xf numFmtId="0" fontId="60" fillId="0" borderId="34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60" fillId="0" borderId="74" xfId="0" applyFont="1" applyBorder="1" applyAlignment="1">
      <alignment horizontal="center" wrapText="1"/>
    </xf>
    <xf numFmtId="0" fontId="60" fillId="0" borderId="75" xfId="0" applyFont="1" applyBorder="1" applyAlignment="1">
      <alignment horizontal="center" vertical="center"/>
    </xf>
    <xf numFmtId="0" fontId="60" fillId="0" borderId="76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60" fillId="0" borderId="78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73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78" xfId="0" applyFont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0" fontId="60" fillId="0" borderId="64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" fillId="0" borderId="0" xfId="51" applyFont="1" applyFill="1" applyBorder="1" applyAlignment="1">
      <alignment horizontal="left" wrapText="1"/>
      <protection/>
    </xf>
    <xf numFmtId="0" fontId="63" fillId="33" borderId="40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left" vertical="center"/>
    </xf>
    <xf numFmtId="0" fontId="63" fillId="33" borderId="12" xfId="0" applyFont="1" applyFill="1" applyBorder="1" applyAlignment="1">
      <alignment horizontal="left" vertical="center"/>
    </xf>
    <xf numFmtId="0" fontId="63" fillId="33" borderId="13" xfId="0" applyFont="1" applyFill="1" applyBorder="1" applyAlignment="1">
      <alignment horizontal="left" vertical="center"/>
    </xf>
    <xf numFmtId="0" fontId="63" fillId="33" borderId="12" xfId="0" applyFont="1" applyFill="1" applyBorder="1" applyAlignment="1">
      <alignment horizontal="center"/>
    </xf>
    <xf numFmtId="0" fontId="63" fillId="33" borderId="13" xfId="0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0" fontId="6" fillId="0" borderId="11" xfId="51" applyFont="1" applyFill="1" applyBorder="1" applyAlignment="1">
      <alignment horizontal="left" wrapText="1"/>
      <protection/>
    </xf>
    <xf numFmtId="9" fontId="7" fillId="0" borderId="22" xfId="50" applyFont="1" applyFill="1" applyBorder="1" applyAlignment="1">
      <alignment horizontal="right" vertical="center"/>
    </xf>
    <xf numFmtId="9" fontId="7" fillId="0" borderId="26" xfId="50" applyFont="1" applyFill="1" applyBorder="1" applyAlignment="1">
      <alignment horizontal="right" vertical="center"/>
    </xf>
    <xf numFmtId="165" fontId="7" fillId="0" borderId="22" xfId="51" applyNumberFormat="1" applyFont="1" applyFill="1" applyBorder="1" applyAlignment="1">
      <alignment horizontal="right" vertical="center"/>
      <protection/>
    </xf>
    <xf numFmtId="165" fontId="7" fillId="0" borderId="26" xfId="51" applyNumberFormat="1" applyFont="1" applyFill="1" applyBorder="1" applyAlignment="1">
      <alignment horizontal="right" vertical="center"/>
      <protection/>
    </xf>
    <xf numFmtId="165" fontId="7" fillId="0" borderId="10" xfId="51" applyNumberFormat="1" applyFont="1" applyFill="1" applyBorder="1" applyAlignment="1">
      <alignment horizontal="right" vertical="center"/>
      <protection/>
    </xf>
    <xf numFmtId="3" fontId="6" fillId="0" borderId="0" xfId="51" applyNumberFormat="1" applyFont="1" applyFill="1" applyBorder="1" applyAlignment="1">
      <alignment horizontal="center" vertical="center" wrapText="1"/>
      <protection/>
    </xf>
    <xf numFmtId="0" fontId="6" fillId="0" borderId="22" xfId="51" applyFont="1" applyFill="1" applyBorder="1" applyAlignment="1">
      <alignment horizontal="center" vertical="center"/>
      <protection/>
    </xf>
    <xf numFmtId="0" fontId="6" fillId="0" borderId="26" xfId="51" applyFont="1" applyFill="1" applyBorder="1" applyAlignment="1">
      <alignment horizontal="center" vertical="center"/>
      <protection/>
    </xf>
    <xf numFmtId="0" fontId="6" fillId="0" borderId="22" xfId="51" applyFont="1" applyFill="1" applyBorder="1" applyAlignment="1">
      <alignment horizontal="center" vertical="center" wrapText="1"/>
      <protection/>
    </xf>
    <xf numFmtId="0" fontId="6" fillId="0" borderId="26" xfId="51" applyFont="1" applyFill="1" applyBorder="1" applyAlignment="1">
      <alignment horizontal="center" vertical="center" wrapText="1"/>
      <protection/>
    </xf>
    <xf numFmtId="3" fontId="6" fillId="0" borderId="10" xfId="51" applyNumberFormat="1" applyFont="1" applyFill="1" applyBorder="1" applyAlignment="1">
      <alignment horizontal="center" vertical="center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3" fontId="21" fillId="0" borderId="10" xfId="51" applyNumberFormat="1" applyFont="1" applyFill="1" applyBorder="1" applyAlignment="1">
      <alignment horizontal="center" vertical="center" wrapText="1"/>
      <protection/>
    </xf>
    <xf numFmtId="0" fontId="21" fillId="0" borderId="22" xfId="51" applyFont="1" applyFill="1" applyBorder="1" applyAlignment="1">
      <alignment horizontal="center" vertical="center" wrapText="1"/>
      <protection/>
    </xf>
    <xf numFmtId="0" fontId="21" fillId="0" borderId="26" xfId="51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21" fillId="0" borderId="10" xfId="51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Currency" xfId="46"/>
    <cellStyle name="Currency [0]" xfId="47"/>
    <cellStyle name="Neutru" xfId="48"/>
    <cellStyle name="Notă" xfId="49"/>
    <cellStyle name="Percent" xfId="50"/>
    <cellStyle name="Standard 2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6.140625" style="0" customWidth="1"/>
    <col min="2" max="2" width="40.57421875" style="0" customWidth="1"/>
    <col min="4" max="4" width="15.8515625" style="0" customWidth="1"/>
    <col min="5" max="5" width="9.8515625" style="0" customWidth="1"/>
    <col min="6" max="6" width="16.140625" style="0" hidden="1" customWidth="1"/>
    <col min="7" max="7" width="13.421875" style="0" hidden="1" customWidth="1"/>
    <col min="8" max="8" width="11.140625" style="0" hidden="1" customWidth="1"/>
    <col min="9" max="9" width="15.28125" style="0" customWidth="1"/>
    <col min="10" max="10" width="13.8515625" style="0" customWidth="1"/>
    <col min="11" max="11" width="11.28125" style="0" customWidth="1"/>
    <col min="12" max="12" width="16.421875" style="0" customWidth="1"/>
    <col min="13" max="13" width="19.421875" style="0" customWidth="1"/>
  </cols>
  <sheetData>
    <row r="1" s="100" customFormat="1" ht="14.25">
      <c r="E1" t="s">
        <v>279</v>
      </c>
    </row>
    <row r="2" ht="14.25">
      <c r="E2" s="100" t="s">
        <v>281</v>
      </c>
    </row>
    <row r="3" spans="1:11" ht="15" customHeight="1">
      <c r="A3" s="421" t="s">
        <v>280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1:11" s="100" customFormat="1" ht="15" customHeight="1">
      <c r="A4" s="421"/>
      <c r="B4" s="421"/>
      <c r="C4" s="421"/>
      <c r="D4" s="421"/>
      <c r="E4" s="421"/>
      <c r="F4" s="421"/>
      <c r="G4" s="421"/>
      <c r="H4" s="421"/>
      <c r="I4" s="421"/>
      <c r="J4" s="421"/>
      <c r="K4" s="421"/>
    </row>
    <row r="5" spans="1:11" s="100" customFormat="1" ht="6" customHeight="1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</row>
    <row r="6" spans="1:10" s="100" customFormat="1" ht="15" thickBot="1">
      <c r="A6" s="130"/>
      <c r="B6" s="130" t="s">
        <v>278</v>
      </c>
      <c r="C6" s="130"/>
      <c r="D6" s="130"/>
      <c r="E6" s="130"/>
      <c r="J6" s="48"/>
    </row>
    <row r="7" spans="1:11" ht="15" thickBot="1">
      <c r="A7" s="131"/>
      <c r="B7" s="131"/>
      <c r="C7" s="131"/>
      <c r="D7" s="131"/>
      <c r="E7" s="131"/>
      <c r="F7" s="174" t="s">
        <v>250</v>
      </c>
      <c r="G7" s="174">
        <v>1.0655</v>
      </c>
      <c r="H7" s="174" t="s">
        <v>255</v>
      </c>
      <c r="K7" s="388" t="s">
        <v>256</v>
      </c>
    </row>
    <row r="8" spans="1:11" s="100" customFormat="1" ht="15" thickBot="1">
      <c r="A8" s="266"/>
      <c r="B8" s="266"/>
      <c r="C8" s="266"/>
      <c r="D8" s="266"/>
      <c r="E8" s="266"/>
      <c r="F8" s="342"/>
      <c r="G8" s="342"/>
      <c r="H8" s="342"/>
      <c r="I8" s="343"/>
      <c r="J8" s="343"/>
      <c r="K8" s="345"/>
    </row>
    <row r="9" spans="1:11" ht="25.5" customHeight="1" thickBot="1">
      <c r="A9" s="427" t="s">
        <v>0</v>
      </c>
      <c r="B9" s="424"/>
      <c r="C9" s="424" t="s">
        <v>1</v>
      </c>
      <c r="D9" s="422" t="s">
        <v>239</v>
      </c>
      <c r="E9" s="423"/>
      <c r="F9" s="418" t="s">
        <v>240</v>
      </c>
      <c r="G9" s="419"/>
      <c r="H9" s="419"/>
      <c r="I9" s="419"/>
      <c r="J9" s="419"/>
      <c r="K9" s="420"/>
    </row>
    <row r="10" spans="1:11" ht="19.5" customHeight="1" thickBot="1">
      <c r="A10" s="428"/>
      <c r="B10" s="425"/>
      <c r="C10" s="425"/>
      <c r="D10" s="311"/>
      <c r="E10" s="311"/>
      <c r="F10" s="412" t="s">
        <v>257</v>
      </c>
      <c r="G10" s="413"/>
      <c r="H10" s="414"/>
      <c r="I10" s="415" t="s">
        <v>244</v>
      </c>
      <c r="J10" s="416"/>
      <c r="K10" s="417"/>
    </row>
    <row r="11" spans="1:11" s="174" customFormat="1" ht="29.25" customHeight="1" thickBot="1">
      <c r="A11" s="429"/>
      <c r="B11" s="426"/>
      <c r="C11" s="426"/>
      <c r="D11" s="312" t="s">
        <v>241</v>
      </c>
      <c r="E11" s="317" t="s">
        <v>242</v>
      </c>
      <c r="F11" s="344" t="s">
        <v>241</v>
      </c>
      <c r="G11" s="344" t="s">
        <v>243</v>
      </c>
      <c r="H11" s="344" t="s">
        <v>276</v>
      </c>
      <c r="I11" s="358" t="s">
        <v>241</v>
      </c>
      <c r="J11" s="380" t="s">
        <v>277</v>
      </c>
      <c r="K11" s="380" t="s">
        <v>276</v>
      </c>
    </row>
    <row r="12" spans="1:13" ht="15" thickBot="1" thickTop="1">
      <c r="A12" s="267">
        <v>1</v>
      </c>
      <c r="B12" s="281" t="s">
        <v>2</v>
      </c>
      <c r="C12" s="297" t="s">
        <v>52</v>
      </c>
      <c r="D12" s="332">
        <f>SUM(D13:D26)</f>
        <v>7612872.734561785</v>
      </c>
      <c r="E12" s="318">
        <f aca="true" t="shared" si="0" ref="E12:E25">D12/$D$51</f>
        <v>40.31323763423471</v>
      </c>
      <c r="F12" s="132">
        <f>SUM(F13:F26)</f>
        <v>7734566.760790582</v>
      </c>
      <c r="G12" s="105">
        <f>G13+G14+G15+G16+G17+G18+G19+G20+G21+G22+G23+G24+G25</f>
        <v>121694.0262287968</v>
      </c>
      <c r="H12" s="127">
        <f>F12/I51</f>
        <v>40.95765668195581</v>
      </c>
      <c r="I12" s="359">
        <f>I13+I14+I15+I16+I17+I18+I19+I20+I21+I22+I23+I24+I25</f>
        <v>8343694.650989384</v>
      </c>
      <c r="J12" s="381">
        <f>I12-D12</f>
        <v>730821.9164275993</v>
      </c>
      <c r="K12" s="381">
        <f>SUM(K13:K25)</f>
        <v>44.18323502056938</v>
      </c>
      <c r="L12" s="178"/>
      <c r="M12" s="48"/>
    </row>
    <row r="13" spans="1:13" ht="15" thickTop="1">
      <c r="A13" s="268" t="s">
        <v>36</v>
      </c>
      <c r="B13" s="282" t="s">
        <v>3</v>
      </c>
      <c r="C13" s="298" t="s">
        <v>52</v>
      </c>
      <c r="D13" s="333">
        <v>399067.2</v>
      </c>
      <c r="E13" s="319">
        <f t="shared" si="0"/>
        <v>2.1132220945441453</v>
      </c>
      <c r="F13" s="313">
        <f>D13*1.0655</f>
        <v>425206.1016</v>
      </c>
      <c r="G13" s="99">
        <f>F13-D13</f>
        <v>26138.901599999983</v>
      </c>
      <c r="H13" s="259">
        <f>F13/188843</f>
        <v>2.2516381417367866</v>
      </c>
      <c r="I13" s="360">
        <f>'1.1+1.2 Modif. 2018'!J37</f>
        <v>437073.6</v>
      </c>
      <c r="J13" s="383">
        <f aca="true" t="shared" si="1" ref="J13:J19">I13-D13</f>
        <v>38006.399999999965</v>
      </c>
      <c r="K13" s="382">
        <f>I13/188843</f>
        <v>2.3144813416435874</v>
      </c>
      <c r="L13" s="48"/>
      <c r="M13" s="48"/>
    </row>
    <row r="14" spans="1:13" ht="14.25">
      <c r="A14" s="269" t="s">
        <v>37</v>
      </c>
      <c r="B14" s="283" t="s">
        <v>4</v>
      </c>
      <c r="C14" s="299" t="s">
        <v>52</v>
      </c>
      <c r="D14" s="334">
        <v>3174.6</v>
      </c>
      <c r="E14" s="320">
        <f t="shared" si="0"/>
        <v>0.016810789915432396</v>
      </c>
      <c r="F14" s="314">
        <f aca="true" t="shared" si="2" ref="F14:F19">D14*1.0655</f>
        <v>3382.5362999999998</v>
      </c>
      <c r="G14" s="98">
        <f aca="true" t="shared" si="3" ref="G14:G25">F14-D14</f>
        <v>207.93629999999985</v>
      </c>
      <c r="H14" s="346">
        <f>F14*1.0655</f>
        <v>3604.0924276499995</v>
      </c>
      <c r="I14" s="361">
        <f>'1.1+1.2 Modif. 2018'!J38</f>
        <v>2533.7</v>
      </c>
      <c r="J14" s="383">
        <f t="shared" si="1"/>
        <v>-640.9000000000001</v>
      </c>
      <c r="K14" s="347">
        <f aca="true" t="shared" si="4" ref="K14:K19">I14/188843</f>
        <v>0.0134169654157157</v>
      </c>
      <c r="M14" s="48"/>
    </row>
    <row r="15" spans="1:11" ht="14.25">
      <c r="A15" s="269" t="s">
        <v>38</v>
      </c>
      <c r="B15" s="283" t="s">
        <v>5</v>
      </c>
      <c r="C15" s="299" t="s">
        <v>52</v>
      </c>
      <c r="D15" s="334">
        <v>93727.3064</v>
      </c>
      <c r="E15" s="320">
        <f t="shared" si="0"/>
        <v>0.49632396435133946</v>
      </c>
      <c r="F15" s="314">
        <f t="shared" si="2"/>
        <v>99866.44496919999</v>
      </c>
      <c r="G15" s="98">
        <f t="shared" si="3"/>
        <v>6139.138569199989</v>
      </c>
      <c r="H15" s="262">
        <f aca="true" t="shared" si="5" ref="H15:H24">F15/$D$51</f>
        <v>0.5288331840163522</v>
      </c>
      <c r="I15" s="361">
        <f>'1.3 Modif 2018'!I24</f>
        <v>215580.75297759997</v>
      </c>
      <c r="J15" s="383">
        <f t="shared" si="1"/>
        <v>121853.44657759997</v>
      </c>
      <c r="K15" s="347">
        <f t="shared" si="4"/>
        <v>1.1415872072441127</v>
      </c>
    </row>
    <row r="16" spans="1:11" ht="14.25">
      <c r="A16" s="269" t="s">
        <v>39</v>
      </c>
      <c r="B16" s="283" t="s">
        <v>83</v>
      </c>
      <c r="C16" s="299" t="s">
        <v>52</v>
      </c>
      <c r="D16" s="334">
        <v>48371.52285714286</v>
      </c>
      <c r="E16" s="320">
        <f t="shared" si="0"/>
        <v>0.25614676136866527</v>
      </c>
      <c r="F16" s="314">
        <f t="shared" si="2"/>
        <v>51539.85760428571</v>
      </c>
      <c r="G16" s="98">
        <f t="shared" si="3"/>
        <v>3168.3347471428497</v>
      </c>
      <c r="H16" s="262">
        <f t="shared" si="5"/>
        <v>0.27292437423831284</v>
      </c>
      <c r="I16" s="362">
        <v>48371.52285714286</v>
      </c>
      <c r="J16" s="382">
        <f t="shared" si="1"/>
        <v>0</v>
      </c>
      <c r="K16" s="347">
        <f t="shared" si="4"/>
        <v>0.25614676136866527</v>
      </c>
    </row>
    <row r="17" spans="1:13" ht="14.25">
      <c r="A17" s="269" t="s">
        <v>40</v>
      </c>
      <c r="B17" s="283" t="s">
        <v>6</v>
      </c>
      <c r="C17" s="299" t="s">
        <v>52</v>
      </c>
      <c r="D17" s="334">
        <v>65132.94915000001</v>
      </c>
      <c r="E17" s="320">
        <f t="shared" si="0"/>
        <v>0.3449052871962424</v>
      </c>
      <c r="F17" s="314">
        <f t="shared" si="2"/>
        <v>69399.15731932501</v>
      </c>
      <c r="G17" s="98">
        <f t="shared" si="3"/>
        <v>4266.208169325</v>
      </c>
      <c r="H17" s="262">
        <f t="shared" si="5"/>
        <v>0.3674965835075963</v>
      </c>
      <c r="I17" s="361">
        <f>'1.5 modif 2018'!D41</f>
        <v>591423.159</v>
      </c>
      <c r="J17" s="383">
        <f t="shared" si="1"/>
        <v>526290.20985</v>
      </c>
      <c r="K17" s="347">
        <f t="shared" si="4"/>
        <v>3.131824632101799</v>
      </c>
      <c r="L17" s="48"/>
      <c r="M17" s="48"/>
    </row>
    <row r="18" spans="1:11" ht="14.25">
      <c r="A18" s="269" t="s">
        <v>41</v>
      </c>
      <c r="B18" s="283" t="s">
        <v>7</v>
      </c>
      <c r="C18" s="299" t="s">
        <v>52</v>
      </c>
      <c r="D18" s="334">
        <v>36300</v>
      </c>
      <c r="E18" s="320">
        <f t="shared" si="0"/>
        <v>0.19222316951118124</v>
      </c>
      <c r="F18" s="314">
        <f t="shared" si="2"/>
        <v>38677.649999999994</v>
      </c>
      <c r="G18" s="98">
        <f t="shared" si="3"/>
        <v>2377.649999999994</v>
      </c>
      <c r="H18" s="262">
        <f t="shared" si="5"/>
        <v>0.2048137871141636</v>
      </c>
      <c r="I18" s="361">
        <v>36300</v>
      </c>
      <c r="J18" s="382">
        <f t="shared" si="1"/>
        <v>0</v>
      </c>
      <c r="K18" s="347">
        <f t="shared" si="4"/>
        <v>0.19222316951118124</v>
      </c>
    </row>
    <row r="19" spans="1:13" ht="14.25">
      <c r="A19" s="269" t="s">
        <v>42</v>
      </c>
      <c r="B19" s="283" t="s">
        <v>85</v>
      </c>
      <c r="C19" s="299" t="s">
        <v>52</v>
      </c>
      <c r="D19" s="334">
        <v>156012.89514464288</v>
      </c>
      <c r="E19" s="320">
        <f t="shared" si="0"/>
        <v>0.8261513275294444</v>
      </c>
      <c r="F19" s="314">
        <f t="shared" si="2"/>
        <v>166231.73977661697</v>
      </c>
      <c r="G19" s="98">
        <f t="shared" si="3"/>
        <v>10218.84463197409</v>
      </c>
      <c r="H19" s="262">
        <f t="shared" si="5"/>
        <v>0.880264239482623</v>
      </c>
      <c r="I19" s="361">
        <f>'1.7 Modif 2018'!J38</f>
        <v>156012.89514464288</v>
      </c>
      <c r="J19" s="382">
        <f t="shared" si="1"/>
        <v>0</v>
      </c>
      <c r="K19" s="347">
        <f t="shared" si="4"/>
        <v>0.8261513275294444</v>
      </c>
      <c r="M19" s="48"/>
    </row>
    <row r="20" spans="1:13" ht="28.5">
      <c r="A20" s="269" t="s">
        <v>43</v>
      </c>
      <c r="B20" s="283" t="s">
        <v>82</v>
      </c>
      <c r="C20" s="299" t="s">
        <v>52</v>
      </c>
      <c r="D20" s="334">
        <v>5754948.67</v>
      </c>
      <c r="E20" s="320">
        <f t="shared" si="0"/>
        <v>30.47477889040102</v>
      </c>
      <c r="F20" s="314">
        <v>5754948.67</v>
      </c>
      <c r="G20" s="98">
        <f t="shared" si="3"/>
        <v>0</v>
      </c>
      <c r="H20" s="262">
        <f t="shared" si="5"/>
        <v>30.47477889040102</v>
      </c>
      <c r="I20" s="363">
        <v>5754948.67</v>
      </c>
      <c r="J20" s="382">
        <f>I20-F20</f>
        <v>0</v>
      </c>
      <c r="K20" s="385">
        <f>I20/188843</f>
        <v>30.47477889040102</v>
      </c>
      <c r="M20" s="48"/>
    </row>
    <row r="21" spans="1:11" ht="14.25">
      <c r="A21" s="269" t="s">
        <v>44</v>
      </c>
      <c r="B21" s="283" t="s">
        <v>8</v>
      </c>
      <c r="C21" s="299" t="s">
        <v>52</v>
      </c>
      <c r="D21" s="334">
        <v>11080</v>
      </c>
      <c r="E21" s="320">
        <f t="shared" si="0"/>
        <v>0.058673077635919786</v>
      </c>
      <c r="F21" s="314">
        <f>D21*1.0655</f>
        <v>11805.739999999998</v>
      </c>
      <c r="G21" s="98">
        <f t="shared" si="3"/>
        <v>725.739999999998</v>
      </c>
      <c r="H21" s="262">
        <f t="shared" si="5"/>
        <v>0.06251616422107252</v>
      </c>
      <c r="I21" s="361">
        <f>'1.9 modif 2018'!D8</f>
        <v>56392.76</v>
      </c>
      <c r="J21" s="383">
        <f aca="true" t="shared" si="6" ref="J21:J50">I21-D21</f>
        <v>45312.76</v>
      </c>
      <c r="K21" s="347">
        <f>I21/188843</f>
        <v>0.2986224535725444</v>
      </c>
    </row>
    <row r="22" spans="1:13" ht="14.25">
      <c r="A22" s="269" t="s">
        <v>45</v>
      </c>
      <c r="B22" s="283" t="s">
        <v>9</v>
      </c>
      <c r="C22" s="299" t="s">
        <v>52</v>
      </c>
      <c r="D22" s="334">
        <v>169250</v>
      </c>
      <c r="E22" s="320">
        <f t="shared" si="0"/>
        <v>0.896247147101031</v>
      </c>
      <c r="F22" s="314">
        <f>D22*1.0655</f>
        <v>180335.87499999997</v>
      </c>
      <c r="G22" s="98">
        <f t="shared" si="3"/>
        <v>11085.87499999997</v>
      </c>
      <c r="H22" s="262">
        <f t="shared" si="5"/>
        <v>0.9549513352361484</v>
      </c>
      <c r="I22" s="361">
        <f>'1.10 modif 2018'!D18</f>
        <v>169250</v>
      </c>
      <c r="J22" s="396">
        <f t="shared" si="6"/>
        <v>0</v>
      </c>
      <c r="K22" s="347">
        <f>I22/188843</f>
        <v>0.896247147101031</v>
      </c>
      <c r="L22" s="160"/>
      <c r="M22" s="48"/>
    </row>
    <row r="23" spans="1:12" ht="14.25">
      <c r="A23" s="269" t="s">
        <v>46</v>
      </c>
      <c r="B23" s="283" t="s">
        <v>10</v>
      </c>
      <c r="C23" s="299" t="s">
        <v>52</v>
      </c>
      <c r="D23" s="334">
        <v>843870.09101</v>
      </c>
      <c r="E23" s="320">
        <f t="shared" si="0"/>
        <v>4.468633155637223</v>
      </c>
      <c r="F23" s="314">
        <f>D23*1.0655</f>
        <v>899143.5819711549</v>
      </c>
      <c r="G23" s="98">
        <f t="shared" si="3"/>
        <v>55273.49096115492</v>
      </c>
      <c r="H23" s="262">
        <f t="shared" si="5"/>
        <v>4.76132862733146</v>
      </c>
      <c r="I23" s="362">
        <v>843870.09101</v>
      </c>
      <c r="J23" s="382">
        <f t="shared" si="6"/>
        <v>0</v>
      </c>
      <c r="K23" s="347">
        <f>I23/188843</f>
        <v>4.468633155637223</v>
      </c>
      <c r="L23" s="109"/>
    </row>
    <row r="24" spans="1:13" ht="14.25">
      <c r="A24" s="269" t="s">
        <v>47</v>
      </c>
      <c r="B24" s="283" t="s">
        <v>11</v>
      </c>
      <c r="C24" s="299" t="s">
        <v>52</v>
      </c>
      <c r="D24" s="334">
        <v>30937.5</v>
      </c>
      <c r="E24" s="320">
        <f t="shared" si="0"/>
        <v>0.1638265649243022</v>
      </c>
      <c r="F24" s="314">
        <f>D24*1.0655</f>
        <v>32963.90625</v>
      </c>
      <c r="G24" s="98">
        <f t="shared" si="3"/>
        <v>2026.40625</v>
      </c>
      <c r="H24" s="262">
        <f t="shared" si="5"/>
        <v>0.17455720492684398</v>
      </c>
      <c r="I24" s="361">
        <v>30937.5</v>
      </c>
      <c r="J24" s="382">
        <f t="shared" si="6"/>
        <v>0</v>
      </c>
      <c r="K24" s="347">
        <f>I24/188843</f>
        <v>0.1638265649243022</v>
      </c>
      <c r="L24" s="178"/>
      <c r="M24" s="48"/>
    </row>
    <row r="25" spans="1:12" ht="14.25">
      <c r="A25" s="269" t="s">
        <v>48</v>
      </c>
      <c r="B25" s="283" t="s">
        <v>12</v>
      </c>
      <c r="C25" s="299" t="s">
        <v>52</v>
      </c>
      <c r="D25" s="334">
        <v>1000</v>
      </c>
      <c r="E25" s="320">
        <f t="shared" si="0"/>
        <v>0.005295404118765323</v>
      </c>
      <c r="F25" s="314">
        <f>D25*1.0655</f>
        <v>1065.5</v>
      </c>
      <c r="G25" s="98">
        <f t="shared" si="3"/>
        <v>65.5</v>
      </c>
      <c r="H25" s="262">
        <v>0.01</v>
      </c>
      <c r="I25" s="361">
        <v>1000</v>
      </c>
      <c r="J25" s="382">
        <f t="shared" si="6"/>
        <v>0</v>
      </c>
      <c r="K25" s="347">
        <f>I25/188843</f>
        <v>0.005295404118765323</v>
      </c>
      <c r="L25" s="109"/>
    </row>
    <row r="26" spans="1:12" ht="0.75" customHeight="1" thickBot="1">
      <c r="A26" s="270"/>
      <c r="B26" s="284"/>
      <c r="C26" s="300"/>
      <c r="D26" s="335"/>
      <c r="E26" s="321"/>
      <c r="F26" s="117"/>
      <c r="G26" s="117"/>
      <c r="H26" s="159"/>
      <c r="I26" s="265"/>
      <c r="J26" s="348"/>
      <c r="K26" s="348"/>
      <c r="L26" s="109"/>
    </row>
    <row r="27" spans="1:12" ht="15" thickBot="1" thickTop="1">
      <c r="A27" s="271">
        <v>2</v>
      </c>
      <c r="B27" s="285" t="s">
        <v>13</v>
      </c>
      <c r="C27" s="301" t="s">
        <v>52</v>
      </c>
      <c r="D27" s="318">
        <f>SUM(D28:D35)</f>
        <v>1024871.36</v>
      </c>
      <c r="E27" s="318">
        <f aca="true" t="shared" si="7" ref="E27:E36">D27/$D$51</f>
        <v>5.427108020948618</v>
      </c>
      <c r="F27" s="132">
        <f>F28+F29+F30+F31+F32+F33+F34+F35</f>
        <v>1092000.4340799998</v>
      </c>
      <c r="G27" s="105">
        <f>G28+G29+G30+G31+G32+G33+G34+G35+G36</f>
        <v>67129.07407999985</v>
      </c>
      <c r="H27" s="120">
        <f>F27/188843</f>
        <v>5.782583596320753</v>
      </c>
      <c r="I27" s="364">
        <f>I28+I35+I36</f>
        <v>1079599.13</v>
      </c>
      <c r="J27" s="349">
        <f t="shared" si="6"/>
        <v>54727.7699999999</v>
      </c>
      <c r="K27" s="349">
        <f>I27/188843</f>
        <v>5.716913679617459</v>
      </c>
      <c r="L27" s="48"/>
    </row>
    <row r="28" spans="1:13" ht="15" thickTop="1">
      <c r="A28" s="268" t="s">
        <v>49</v>
      </c>
      <c r="B28" s="282" t="s">
        <v>14</v>
      </c>
      <c r="C28" s="298" t="s">
        <v>52</v>
      </c>
      <c r="D28" s="336">
        <v>828000</v>
      </c>
      <c r="E28" s="319">
        <f t="shared" si="7"/>
        <v>4.384594610337688</v>
      </c>
      <c r="F28" s="313">
        <f>D28*1.0655</f>
        <v>882233.9999999999</v>
      </c>
      <c r="G28" s="98">
        <f>F28-D28</f>
        <v>54233.99999999988</v>
      </c>
      <c r="H28" s="262">
        <f aca="true" t="shared" si="8" ref="H28:H35">F28/188843</f>
        <v>4.671785557314806</v>
      </c>
      <c r="I28" s="363">
        <f>'2 Modificat 2018'!I27</f>
        <v>1047828</v>
      </c>
      <c r="J28" s="397">
        <f t="shared" si="6"/>
        <v>219828</v>
      </c>
      <c r="K28" s="347">
        <f>I28/188843</f>
        <v>5.548672706957632</v>
      </c>
      <c r="L28" s="48"/>
      <c r="M28" s="48"/>
    </row>
    <row r="29" spans="1:11" ht="14.25">
      <c r="A29" s="269"/>
      <c r="B29" s="283" t="s">
        <v>247</v>
      </c>
      <c r="C29" s="298" t="s">
        <v>52</v>
      </c>
      <c r="D29" s="334">
        <v>130824</v>
      </c>
      <c r="E29" s="320">
        <f t="shared" si="7"/>
        <v>0.6927659484333547</v>
      </c>
      <c r="F29" s="313">
        <f aca="true" t="shared" si="9" ref="F29:F36">D29*1.0655</f>
        <v>139392.97199999998</v>
      </c>
      <c r="G29" s="98">
        <f aca="true" t="shared" si="10" ref="G29:G36">F29-D29</f>
        <v>8568.97199999998</v>
      </c>
      <c r="H29" s="262">
        <f t="shared" si="8"/>
        <v>0.7381421180557394</v>
      </c>
      <c r="I29" s="363">
        <v>0</v>
      </c>
      <c r="J29" s="397">
        <f t="shared" si="6"/>
        <v>-130824</v>
      </c>
      <c r="K29" s="347">
        <v>0</v>
      </c>
    </row>
    <row r="30" spans="1:11" ht="14.25">
      <c r="A30" s="269"/>
      <c r="B30" s="283" t="s">
        <v>15</v>
      </c>
      <c r="C30" s="298" t="s">
        <v>52</v>
      </c>
      <c r="D30" s="334">
        <v>4140</v>
      </c>
      <c r="E30" s="320">
        <f t="shared" si="7"/>
        <v>0.02192297305168844</v>
      </c>
      <c r="F30" s="313">
        <f t="shared" si="9"/>
        <v>4411.169999999999</v>
      </c>
      <c r="G30" s="98">
        <f t="shared" si="10"/>
        <v>271.16999999999916</v>
      </c>
      <c r="H30" s="262">
        <f t="shared" si="8"/>
        <v>0.02335892778657403</v>
      </c>
      <c r="I30" s="363">
        <v>0</v>
      </c>
      <c r="J30" s="397">
        <f t="shared" si="6"/>
        <v>-4140</v>
      </c>
      <c r="K30" s="347">
        <f aca="true" t="shared" si="11" ref="K30:K42">I30/$D$51</f>
        <v>0</v>
      </c>
    </row>
    <row r="31" spans="1:11" ht="14.25">
      <c r="A31" s="269"/>
      <c r="B31" s="283" t="s">
        <v>16</v>
      </c>
      <c r="C31" s="298" t="s">
        <v>52</v>
      </c>
      <c r="D31" s="334">
        <v>43056</v>
      </c>
      <c r="E31" s="320">
        <f t="shared" si="7"/>
        <v>0.22799891973755979</v>
      </c>
      <c r="F31" s="313">
        <f t="shared" si="9"/>
        <v>45876.168</v>
      </c>
      <c r="G31" s="98">
        <f t="shared" si="10"/>
        <v>2820.167999999998</v>
      </c>
      <c r="H31" s="262">
        <f t="shared" si="8"/>
        <v>0.24293284898036993</v>
      </c>
      <c r="I31" s="363">
        <v>0</v>
      </c>
      <c r="J31" s="397">
        <f t="shared" si="6"/>
        <v>-43056</v>
      </c>
      <c r="K31" s="347">
        <f t="shared" si="11"/>
        <v>0</v>
      </c>
    </row>
    <row r="32" spans="1:13" ht="14.25">
      <c r="A32" s="269"/>
      <c r="B32" s="283" t="s">
        <v>17</v>
      </c>
      <c r="C32" s="298" t="s">
        <v>52</v>
      </c>
      <c r="D32" s="334">
        <v>1548.36</v>
      </c>
      <c r="E32" s="320">
        <f t="shared" si="7"/>
        <v>0.008199191921331476</v>
      </c>
      <c r="F32" s="313">
        <f t="shared" si="9"/>
        <v>1649.7775799999997</v>
      </c>
      <c r="G32" s="98">
        <f t="shared" si="10"/>
        <v>101.41757999999982</v>
      </c>
      <c r="H32" s="262">
        <f t="shared" si="8"/>
        <v>0.008736238992178687</v>
      </c>
      <c r="I32" s="363">
        <v>0</v>
      </c>
      <c r="J32" s="397">
        <f t="shared" si="6"/>
        <v>-1548.36</v>
      </c>
      <c r="K32" s="347">
        <f t="shared" si="11"/>
        <v>0</v>
      </c>
      <c r="M32" s="48"/>
    </row>
    <row r="33" spans="1:13" ht="27.75" customHeight="1">
      <c r="A33" s="269"/>
      <c r="B33" s="283" t="s">
        <v>18</v>
      </c>
      <c r="C33" s="298" t="s">
        <v>52</v>
      </c>
      <c r="D33" s="334">
        <v>7038.000000000001</v>
      </c>
      <c r="E33" s="320">
        <f t="shared" si="7"/>
        <v>0.037269054187870354</v>
      </c>
      <c r="F33" s="313">
        <f t="shared" si="9"/>
        <v>7498.9890000000005</v>
      </c>
      <c r="G33" s="98">
        <f t="shared" si="10"/>
        <v>460.9889999999996</v>
      </c>
      <c r="H33" s="262">
        <f t="shared" si="8"/>
        <v>0.039710177237175855</v>
      </c>
      <c r="I33" s="363">
        <v>0</v>
      </c>
      <c r="J33" s="397">
        <f t="shared" si="6"/>
        <v>-7038.000000000001</v>
      </c>
      <c r="K33" s="347">
        <f t="shared" si="11"/>
        <v>0</v>
      </c>
      <c r="M33" s="48"/>
    </row>
    <row r="34" spans="1:13" ht="14.25">
      <c r="A34" s="269"/>
      <c r="B34" s="283" t="s">
        <v>19</v>
      </c>
      <c r="C34" s="298" t="s">
        <v>52</v>
      </c>
      <c r="D34" s="334">
        <v>2070</v>
      </c>
      <c r="E34" s="320">
        <f t="shared" si="7"/>
        <v>0.01096148652584422</v>
      </c>
      <c r="F34" s="313">
        <f t="shared" si="9"/>
        <v>2205.5849999999996</v>
      </c>
      <c r="G34" s="98">
        <f t="shared" si="10"/>
        <v>135.58499999999958</v>
      </c>
      <c r="H34" s="262">
        <f t="shared" si="8"/>
        <v>0.011679463893287015</v>
      </c>
      <c r="I34" s="363">
        <v>0</v>
      </c>
      <c r="J34" s="397">
        <f t="shared" si="6"/>
        <v>-2070</v>
      </c>
      <c r="K34" s="347">
        <f t="shared" si="11"/>
        <v>0</v>
      </c>
      <c r="L34" s="160"/>
      <c r="M34" s="48"/>
    </row>
    <row r="35" spans="1:12" ht="28.5">
      <c r="A35" s="272" t="s">
        <v>51</v>
      </c>
      <c r="B35" s="286" t="s">
        <v>20</v>
      </c>
      <c r="C35" s="302" t="s">
        <v>52</v>
      </c>
      <c r="D35" s="337">
        <v>8195</v>
      </c>
      <c r="E35" s="322">
        <f t="shared" si="7"/>
        <v>0.043395836753281826</v>
      </c>
      <c r="F35" s="313">
        <f t="shared" si="9"/>
        <v>8731.7725</v>
      </c>
      <c r="G35" s="116">
        <f t="shared" si="10"/>
        <v>536.7724999999991</v>
      </c>
      <c r="H35" s="263">
        <f t="shared" si="8"/>
        <v>0.04623826406062178</v>
      </c>
      <c r="I35" s="363">
        <v>8195</v>
      </c>
      <c r="J35" s="397">
        <f t="shared" si="6"/>
        <v>0</v>
      </c>
      <c r="K35" s="347">
        <f t="shared" si="11"/>
        <v>0.043395836753281826</v>
      </c>
      <c r="L35" s="109"/>
    </row>
    <row r="36" spans="1:13" s="100" customFormat="1" ht="15" thickBot="1">
      <c r="A36" s="270" t="s">
        <v>50</v>
      </c>
      <c r="B36" s="284" t="s">
        <v>248</v>
      </c>
      <c r="C36" s="300" t="s">
        <v>52</v>
      </c>
      <c r="D36" s="338">
        <v>0</v>
      </c>
      <c r="E36" s="321">
        <f t="shared" si="7"/>
        <v>0</v>
      </c>
      <c r="F36" s="315">
        <f t="shared" si="9"/>
        <v>0</v>
      </c>
      <c r="G36" s="118">
        <f t="shared" si="10"/>
        <v>0</v>
      </c>
      <c r="H36" s="260">
        <f>F36/$D$51</f>
        <v>0</v>
      </c>
      <c r="I36" s="365">
        <f>'2 Modificat 2018'!I29</f>
        <v>23576.129999999997</v>
      </c>
      <c r="J36" s="398">
        <f t="shared" si="6"/>
        <v>23576.129999999997</v>
      </c>
      <c r="K36" s="350">
        <f t="shared" si="11"/>
        <v>0.1248451359065467</v>
      </c>
      <c r="L36" s="109"/>
      <c r="M36" s="48"/>
    </row>
    <row r="37" spans="1:13" ht="15" thickBot="1" thickTop="1">
      <c r="A37" s="271">
        <v>3</v>
      </c>
      <c r="B37" s="285" t="s">
        <v>221</v>
      </c>
      <c r="C37" s="301" t="s">
        <v>52</v>
      </c>
      <c r="D37" s="318">
        <v>304944.60935524997</v>
      </c>
      <c r="E37" s="318">
        <f aca="true" t="shared" si="12" ref="E37:E42">D37/$D$51</f>
        <v>1.6148049403750733</v>
      </c>
      <c r="F37" s="132">
        <f>D37*1.0655</f>
        <v>324918.48126801883</v>
      </c>
      <c r="G37" s="105">
        <f aca="true" t="shared" si="13" ref="G37:G48">F37-D37</f>
        <v>19973.871912768867</v>
      </c>
      <c r="H37" s="120">
        <f aca="true" t="shared" si="14" ref="H37:H48">F37/$D$51</f>
        <v>1.7205746639696406</v>
      </c>
      <c r="I37" s="366">
        <v>304944.61</v>
      </c>
      <c r="J37" s="351">
        <f t="shared" si="6"/>
        <v>0.0006447500200010836</v>
      </c>
      <c r="K37" s="351">
        <f>I37/188843</f>
        <v>1.6148049437892853</v>
      </c>
      <c r="L37" s="160"/>
      <c r="M37" s="48"/>
    </row>
    <row r="38" spans="1:13" ht="15" thickBot="1" thickTop="1">
      <c r="A38" s="273">
        <v>4</v>
      </c>
      <c r="B38" s="287" t="s">
        <v>246</v>
      </c>
      <c r="C38" s="303" t="s">
        <v>52</v>
      </c>
      <c r="D38" s="323">
        <v>0</v>
      </c>
      <c r="E38" s="323">
        <f t="shared" si="12"/>
        <v>0</v>
      </c>
      <c r="F38" s="294">
        <f>D38*1.0363</f>
        <v>0</v>
      </c>
      <c r="G38" s="104">
        <f t="shared" si="13"/>
        <v>0</v>
      </c>
      <c r="H38" s="121">
        <f t="shared" si="14"/>
        <v>0</v>
      </c>
      <c r="I38" s="364">
        <v>0</v>
      </c>
      <c r="J38" s="349">
        <f t="shared" si="6"/>
        <v>0</v>
      </c>
      <c r="K38" s="349">
        <f t="shared" si="11"/>
        <v>0</v>
      </c>
      <c r="L38" s="109"/>
      <c r="M38" s="179"/>
    </row>
    <row r="39" spans="1:13" ht="30" thickBot="1" thickTop="1">
      <c r="A39" s="273">
        <v>5</v>
      </c>
      <c r="B39" s="287" t="s">
        <v>206</v>
      </c>
      <c r="C39" s="303" t="s">
        <v>52</v>
      </c>
      <c r="D39" s="323">
        <v>0</v>
      </c>
      <c r="E39" s="323">
        <f t="shared" si="12"/>
        <v>0</v>
      </c>
      <c r="F39" s="294">
        <f>D39*1.0363</f>
        <v>0</v>
      </c>
      <c r="G39" s="104">
        <f t="shared" si="13"/>
        <v>0</v>
      </c>
      <c r="H39" s="121">
        <f t="shared" si="14"/>
        <v>0</v>
      </c>
      <c r="I39" s="367">
        <v>0</v>
      </c>
      <c r="J39" s="352">
        <f t="shared" si="6"/>
        <v>0</v>
      </c>
      <c r="K39" s="352">
        <f t="shared" si="11"/>
        <v>0</v>
      </c>
      <c r="L39" s="109"/>
      <c r="M39" s="179"/>
    </row>
    <row r="40" spans="1:13" ht="44.25" thickBot="1" thickTop="1">
      <c r="A40" s="273">
        <v>6</v>
      </c>
      <c r="B40" s="287" t="s">
        <v>230</v>
      </c>
      <c r="C40" s="303" t="s">
        <v>52</v>
      </c>
      <c r="D40" s="323">
        <v>1116775</v>
      </c>
      <c r="E40" s="323">
        <f t="shared" si="12"/>
        <v>5.913774934734144</v>
      </c>
      <c r="F40" s="316">
        <f>D40*1.0655</f>
        <v>1189923.7625</v>
      </c>
      <c r="G40" s="119">
        <f t="shared" si="13"/>
        <v>73148.76249999995</v>
      </c>
      <c r="H40" s="264">
        <v>5.91</v>
      </c>
      <c r="I40" s="368">
        <v>1116775</v>
      </c>
      <c r="J40" s="351">
        <f t="shared" si="6"/>
        <v>0</v>
      </c>
      <c r="K40" s="351">
        <f>I40/I51</f>
        <v>5.913774934734144</v>
      </c>
      <c r="L40" s="261"/>
      <c r="M40" s="158"/>
    </row>
    <row r="41" spans="1:13" ht="15" thickBot="1" thickTop="1">
      <c r="A41" s="273">
        <v>7</v>
      </c>
      <c r="B41" s="287" t="s">
        <v>21</v>
      </c>
      <c r="C41" s="303" t="s">
        <v>52</v>
      </c>
      <c r="D41" s="323">
        <v>870934.8800490001</v>
      </c>
      <c r="E41" s="323">
        <f t="shared" si="12"/>
        <v>4.611952150987858</v>
      </c>
      <c r="F41" s="294">
        <f>D41*1.0655</f>
        <v>927981.1146922095</v>
      </c>
      <c r="G41" s="104">
        <f>F41-D41</f>
        <v>57046.23464320938</v>
      </c>
      <c r="H41" s="121">
        <f t="shared" si="14"/>
        <v>4.914035016877563</v>
      </c>
      <c r="I41" s="369">
        <v>870934.88</v>
      </c>
      <c r="J41" s="349">
        <f t="shared" si="6"/>
        <v>-4.900014027953148E-05</v>
      </c>
      <c r="K41" s="349">
        <f>I41/188843</f>
        <v>4.611952150728383</v>
      </c>
      <c r="L41" s="160"/>
      <c r="M41" s="158"/>
    </row>
    <row r="42" spans="1:13" ht="15" thickBot="1" thickTop="1">
      <c r="A42" s="271">
        <v>8</v>
      </c>
      <c r="B42" s="285" t="s">
        <v>229</v>
      </c>
      <c r="C42" s="301" t="s">
        <v>52</v>
      </c>
      <c r="D42" s="323">
        <v>0</v>
      </c>
      <c r="E42" s="318">
        <f t="shared" si="12"/>
        <v>0</v>
      </c>
      <c r="F42" s="294">
        <f>D42*1.0363</f>
        <v>0</v>
      </c>
      <c r="G42" s="104">
        <f t="shared" si="13"/>
        <v>0</v>
      </c>
      <c r="H42" s="121">
        <f t="shared" si="14"/>
        <v>0</v>
      </c>
      <c r="I42" s="370">
        <v>0</v>
      </c>
      <c r="J42" s="352">
        <f t="shared" si="6"/>
        <v>0</v>
      </c>
      <c r="K42" s="352">
        <f t="shared" si="11"/>
        <v>0</v>
      </c>
      <c r="L42" s="109"/>
      <c r="M42" s="179"/>
    </row>
    <row r="43" spans="1:13" ht="15" thickBot="1" thickTop="1">
      <c r="A43" s="274"/>
      <c r="B43" s="288"/>
      <c r="C43" s="304"/>
      <c r="D43" s="329"/>
      <c r="E43" s="324"/>
      <c r="F43" s="109"/>
      <c r="G43" s="109"/>
      <c r="H43" s="109"/>
      <c r="I43" s="371"/>
      <c r="J43" s="384"/>
      <c r="K43" s="353"/>
      <c r="L43" s="109"/>
      <c r="M43" s="158"/>
    </row>
    <row r="44" spans="1:13" ht="15" thickBot="1" thickTop="1">
      <c r="A44" s="275" t="s">
        <v>26</v>
      </c>
      <c r="B44" s="289" t="s">
        <v>55</v>
      </c>
      <c r="C44" s="305" t="s">
        <v>52</v>
      </c>
      <c r="D44" s="325">
        <f>D12+D27+D37+D38+D39+D40+D41+D42</f>
        <v>10930398.583966035</v>
      </c>
      <c r="E44" s="325">
        <f>D44/$D$51</f>
        <v>57.8808776812804</v>
      </c>
      <c r="F44" s="133">
        <f>F42+F41+F40+F39+F38+F37+F27+F12</f>
        <v>11269390.553330809</v>
      </c>
      <c r="G44" s="111">
        <f>F44-D44</f>
        <v>338991.9693647735</v>
      </c>
      <c r="H44" s="122">
        <f t="shared" si="14"/>
        <v>59.67597715208299</v>
      </c>
      <c r="I44" s="372">
        <f>I41+I40+I37+I27+I12</f>
        <v>11715948.270989385</v>
      </c>
      <c r="J44" s="354">
        <f t="shared" si="6"/>
        <v>785549.6870233491</v>
      </c>
      <c r="K44" s="354">
        <f>K42+K41+K40+K37+K27+K12</f>
        <v>62.04068072943865</v>
      </c>
      <c r="L44" s="48"/>
      <c r="M44" s="180"/>
    </row>
    <row r="45" spans="1:13" ht="30" thickBot="1" thickTop="1">
      <c r="A45" s="275" t="s">
        <v>27</v>
      </c>
      <c r="B45" s="289" t="s">
        <v>227</v>
      </c>
      <c r="C45" s="305" t="s">
        <v>52</v>
      </c>
      <c r="D45" s="325">
        <v>0</v>
      </c>
      <c r="E45" s="325">
        <f>D45/$D$51</f>
        <v>0</v>
      </c>
      <c r="F45" s="133">
        <f>D45*1</f>
        <v>0</v>
      </c>
      <c r="G45" s="111">
        <f>F45-D45</f>
        <v>0</v>
      </c>
      <c r="H45" s="122">
        <f>F45/$D$51</f>
        <v>0</v>
      </c>
      <c r="I45" s="373">
        <v>0</v>
      </c>
      <c r="J45" s="355">
        <f t="shared" si="6"/>
        <v>0</v>
      </c>
      <c r="K45" s="355">
        <f>I45/$D$51</f>
        <v>0</v>
      </c>
      <c r="M45" s="261"/>
    </row>
    <row r="46" spans="1:13" ht="15" thickBot="1" thickTop="1">
      <c r="A46" s="276" t="s">
        <v>28</v>
      </c>
      <c r="B46" s="290" t="s">
        <v>22</v>
      </c>
      <c r="C46" s="306" t="s">
        <v>52</v>
      </c>
      <c r="D46" s="326">
        <f>D44+D45</f>
        <v>10930398.583966035</v>
      </c>
      <c r="E46" s="326">
        <f>D46/$D$51</f>
        <v>57.8808776812804</v>
      </c>
      <c r="F46" s="134">
        <f>F44</f>
        <v>11269390.553330809</v>
      </c>
      <c r="G46" s="112">
        <f>F46-D46</f>
        <v>338991.9693647735</v>
      </c>
      <c r="H46" s="123">
        <f t="shared" si="14"/>
        <v>59.67597715208299</v>
      </c>
      <c r="I46" s="374">
        <f>I44+I45</f>
        <v>11715948.270989385</v>
      </c>
      <c r="J46" s="356">
        <f t="shared" si="6"/>
        <v>785549.6870233491</v>
      </c>
      <c r="K46" s="356">
        <f>K44+K45</f>
        <v>62.04068072943865</v>
      </c>
      <c r="L46" s="48"/>
      <c r="M46" s="179"/>
    </row>
    <row r="47" spans="1:13" ht="15" thickBot="1" thickTop="1">
      <c r="A47" s="276" t="s">
        <v>29</v>
      </c>
      <c r="B47" s="290" t="s">
        <v>238</v>
      </c>
      <c r="C47" s="306" t="s">
        <v>52</v>
      </c>
      <c r="D47" s="326">
        <f>D46*7%</f>
        <v>765127.9008776225</v>
      </c>
      <c r="E47" s="326">
        <f>D47/$D$51</f>
        <v>4.051661437689629</v>
      </c>
      <c r="F47" s="134">
        <f>F46*0.07</f>
        <v>788857.3387331567</v>
      </c>
      <c r="G47" s="112">
        <f>F47-D47</f>
        <v>23729.43785553414</v>
      </c>
      <c r="H47" s="123">
        <f t="shared" si="14"/>
        <v>4.1773184006458095</v>
      </c>
      <c r="I47" s="375">
        <f>I46*0.07</f>
        <v>820116.378969257</v>
      </c>
      <c r="J47" s="326">
        <f t="shared" si="6"/>
        <v>54988.47809163446</v>
      </c>
      <c r="K47" s="326">
        <f>K46*0.07</f>
        <v>4.342847651060706</v>
      </c>
      <c r="L47" s="48"/>
      <c r="M47" s="179"/>
    </row>
    <row r="48" spans="1:13" ht="15" thickBot="1" thickTop="1">
      <c r="A48" s="276" t="s">
        <v>30</v>
      </c>
      <c r="B48" s="290" t="s">
        <v>228</v>
      </c>
      <c r="C48" s="306" t="s">
        <v>52</v>
      </c>
      <c r="D48" s="326">
        <v>0</v>
      </c>
      <c r="E48" s="326">
        <f>D48/$D$51</f>
        <v>0</v>
      </c>
      <c r="F48" s="134">
        <v>0</v>
      </c>
      <c r="G48" s="112">
        <f t="shared" si="13"/>
        <v>0</v>
      </c>
      <c r="H48" s="123">
        <f t="shared" si="14"/>
        <v>0</v>
      </c>
      <c r="I48" s="375">
        <v>0</v>
      </c>
      <c r="J48" s="326">
        <f t="shared" si="6"/>
        <v>0</v>
      </c>
      <c r="K48" s="326">
        <v>0</v>
      </c>
      <c r="M48" s="158"/>
    </row>
    <row r="49" spans="1:13" ht="15" thickBot="1" thickTop="1">
      <c r="A49" s="274"/>
      <c r="B49" s="288"/>
      <c r="C49" s="304"/>
      <c r="D49" s="329"/>
      <c r="E49" s="324"/>
      <c r="F49" s="109"/>
      <c r="G49" s="109"/>
      <c r="H49" s="109"/>
      <c r="I49" s="128"/>
      <c r="J49" s="357">
        <f t="shared" si="6"/>
        <v>0</v>
      </c>
      <c r="K49" s="357"/>
      <c r="M49" s="179"/>
    </row>
    <row r="50" spans="1:13" ht="30" thickBot="1" thickTop="1">
      <c r="A50" s="277" t="s">
        <v>31</v>
      </c>
      <c r="B50" s="291" t="s">
        <v>23</v>
      </c>
      <c r="C50" s="307" t="s">
        <v>52</v>
      </c>
      <c r="D50" s="327">
        <f>D46+D47+D48</f>
        <v>11695526.484843658</v>
      </c>
      <c r="E50" s="327">
        <f>D50/$D$51</f>
        <v>61.932539118970034</v>
      </c>
      <c r="F50" s="135">
        <f>F46+F47+F48</f>
        <v>12058247.892063966</v>
      </c>
      <c r="G50" s="107">
        <f>F50-D50</f>
        <v>362721.40722030774</v>
      </c>
      <c r="H50" s="124">
        <f>F50/$D$51</f>
        <v>63.85329555272881</v>
      </c>
      <c r="I50" s="376">
        <f>I46+I47</f>
        <v>12536064.649958642</v>
      </c>
      <c r="J50" s="327">
        <f t="shared" si="6"/>
        <v>840538.1651149839</v>
      </c>
      <c r="K50" s="386">
        <f>K47+K46</f>
        <v>66.38352838049936</v>
      </c>
      <c r="L50" s="48"/>
      <c r="M50" s="180"/>
    </row>
    <row r="51" spans="1:13" ht="15" thickBot="1" thickTop="1">
      <c r="A51" s="277" t="s">
        <v>32</v>
      </c>
      <c r="B51" s="291" t="s">
        <v>231</v>
      </c>
      <c r="C51" s="307" t="s">
        <v>53</v>
      </c>
      <c r="D51" s="339">
        <v>188843</v>
      </c>
      <c r="E51" s="328"/>
      <c r="F51" s="295">
        <v>188843</v>
      </c>
      <c r="G51" s="106"/>
      <c r="H51" s="125"/>
      <c r="I51" s="377">
        <v>188843</v>
      </c>
      <c r="J51" s="327"/>
      <c r="K51" s="327"/>
      <c r="M51" s="179"/>
    </row>
    <row r="52" spans="1:13" ht="15" thickBot="1" thickTop="1">
      <c r="A52" s="274"/>
      <c r="B52" s="288"/>
      <c r="C52" s="304"/>
      <c r="D52" s="329"/>
      <c r="E52" s="329"/>
      <c r="F52" s="109"/>
      <c r="G52" s="109"/>
      <c r="H52" s="109"/>
      <c r="I52" s="128"/>
      <c r="J52" s="357"/>
      <c r="K52" s="357"/>
      <c r="M52" s="180"/>
    </row>
    <row r="53" spans="1:13" ht="15" thickBot="1" thickTop="1">
      <c r="A53" s="278" t="s">
        <v>33</v>
      </c>
      <c r="B53" s="292" t="s">
        <v>24</v>
      </c>
      <c r="C53" s="308" t="s">
        <v>54</v>
      </c>
      <c r="D53" s="340"/>
      <c r="E53" s="330">
        <f>D50/D51</f>
        <v>61.932539118970034</v>
      </c>
      <c r="F53" s="296"/>
      <c r="G53" s="108"/>
      <c r="H53" s="126">
        <f>F50/F51</f>
        <v>63.85329555272881</v>
      </c>
      <c r="I53" s="378"/>
      <c r="J53" s="340"/>
      <c r="K53" s="386">
        <f>K50</f>
        <v>66.38352838049936</v>
      </c>
      <c r="L53" s="395"/>
      <c r="M53" s="179"/>
    </row>
    <row r="54" spans="1:13" ht="15" thickBot="1" thickTop="1">
      <c r="A54" s="279" t="s">
        <v>34</v>
      </c>
      <c r="B54" s="292" t="s">
        <v>249</v>
      </c>
      <c r="C54" s="309" t="s">
        <v>52</v>
      </c>
      <c r="D54" s="340"/>
      <c r="E54" s="330">
        <f>E53*0.2</f>
        <v>12.386507823794007</v>
      </c>
      <c r="F54" s="296"/>
      <c r="G54" s="108"/>
      <c r="H54" s="126">
        <f>H53*0.19</f>
        <v>12.132126155018474</v>
      </c>
      <c r="I54" s="378"/>
      <c r="J54" s="340"/>
      <c r="K54" s="330">
        <f>K53*0.19</f>
        <v>12.612870392294878</v>
      </c>
      <c r="L54" s="48"/>
      <c r="M54" s="180"/>
    </row>
    <row r="55" spans="1:13" ht="15" thickBot="1" thickTop="1">
      <c r="A55" s="280" t="s">
        <v>35</v>
      </c>
      <c r="B55" s="293" t="s">
        <v>25</v>
      </c>
      <c r="C55" s="310" t="s">
        <v>54</v>
      </c>
      <c r="D55" s="341"/>
      <c r="E55" s="331">
        <f>E53+E54</f>
        <v>74.31904694276405</v>
      </c>
      <c r="F55" s="296"/>
      <c r="G55" s="108"/>
      <c r="H55" s="126">
        <f>H53+H54</f>
        <v>75.98542170774728</v>
      </c>
      <c r="I55" s="379"/>
      <c r="J55" s="341"/>
      <c r="K55" s="387">
        <f>K53+K54</f>
        <v>78.99639877279424</v>
      </c>
      <c r="M55" s="180"/>
    </row>
    <row r="56" ht="15" thickTop="1">
      <c r="M56" s="179"/>
    </row>
    <row r="57" ht="18">
      <c r="B57" s="176"/>
    </row>
  </sheetData>
  <sheetProtection/>
  <mergeCells count="8">
    <mergeCell ref="F10:H10"/>
    <mergeCell ref="I10:K10"/>
    <mergeCell ref="F9:K9"/>
    <mergeCell ref="A3:K5"/>
    <mergeCell ref="D9:E9"/>
    <mergeCell ref="C9:C11"/>
    <mergeCell ref="B9:B11"/>
    <mergeCell ref="A9:A11"/>
  </mergeCells>
  <printOptions horizontalCentered="1"/>
  <pageMargins left="0.31496062992125984" right="0.2362204724409449" top="0.6692913385826772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4"/>
  <sheetViews>
    <sheetView zoomScale="115" zoomScaleNormal="115" zoomScalePageLayoutView="0" workbookViewId="0" topLeftCell="A28">
      <selection activeCell="A48" sqref="A48"/>
    </sheetView>
  </sheetViews>
  <sheetFormatPr defaultColWidth="9.140625" defaultRowHeight="15"/>
  <cols>
    <col min="1" max="1" width="75.7109375" style="0" customWidth="1"/>
    <col min="3" max="3" width="13.7109375" style="0" customWidth="1"/>
    <col min="4" max="4" width="12.140625" style="0" customWidth="1"/>
    <col min="5" max="5" width="16.7109375" style="0" customWidth="1"/>
    <col min="6" max="6" width="13.8515625" style="0" customWidth="1"/>
    <col min="7" max="7" width="14.7109375" style="0" customWidth="1"/>
    <col min="8" max="8" width="13.28125" style="0" customWidth="1"/>
    <col min="9" max="9" width="12.140625" style="0" customWidth="1"/>
    <col min="10" max="10" width="14.28125" style="0" customWidth="1"/>
    <col min="11" max="11" width="3.421875" style="0" hidden="1" customWidth="1"/>
  </cols>
  <sheetData>
    <row r="3" spans="1:10" ht="14.25">
      <c r="A3" s="430" t="s">
        <v>148</v>
      </c>
      <c r="B3" s="430"/>
      <c r="C3" s="430"/>
      <c r="D3" s="430"/>
      <c r="E3" s="430"/>
      <c r="F3" s="430"/>
      <c r="G3" s="430"/>
      <c r="H3" s="72"/>
      <c r="I3" s="72"/>
      <c r="J3" s="43"/>
    </row>
    <row r="4" spans="1:11" ht="69" thickBot="1">
      <c r="A4" s="90" t="s">
        <v>115</v>
      </c>
      <c r="B4" s="90" t="s">
        <v>87</v>
      </c>
      <c r="C4" s="90" t="s">
        <v>116</v>
      </c>
      <c r="D4" s="90" t="s">
        <v>117</v>
      </c>
      <c r="E4" s="90" t="s">
        <v>118</v>
      </c>
      <c r="F4" s="90" t="s">
        <v>119</v>
      </c>
      <c r="G4" s="90" t="s">
        <v>120</v>
      </c>
      <c r="H4" s="90" t="s">
        <v>121</v>
      </c>
      <c r="I4" s="90" t="s">
        <v>122</v>
      </c>
      <c r="J4" s="406" t="s">
        <v>123</v>
      </c>
      <c r="K4" s="399"/>
    </row>
    <row r="5" spans="1:11" ht="14.25">
      <c r="A5" s="91" t="s">
        <v>124</v>
      </c>
      <c r="B5" s="74">
        <v>2</v>
      </c>
      <c r="C5" s="75">
        <v>6000</v>
      </c>
      <c r="D5" s="76">
        <v>0</v>
      </c>
      <c r="E5" s="77">
        <v>0.095</v>
      </c>
      <c r="F5" s="77">
        <v>0</v>
      </c>
      <c r="G5" s="78">
        <v>4.6</v>
      </c>
      <c r="H5" s="78"/>
      <c r="I5" s="78"/>
      <c r="J5" s="407">
        <f>B5*C5*E5*G5</f>
        <v>5244</v>
      </c>
      <c r="K5" s="400"/>
    </row>
    <row r="6" spans="1:11" ht="14.25">
      <c r="A6" s="79" t="s">
        <v>125</v>
      </c>
      <c r="B6" s="45" t="s">
        <v>126</v>
      </c>
      <c r="C6" s="45" t="s">
        <v>126</v>
      </c>
      <c r="D6" s="45" t="s">
        <v>126</v>
      </c>
      <c r="E6" s="45" t="s">
        <v>126</v>
      </c>
      <c r="F6" s="45" t="s">
        <v>126</v>
      </c>
      <c r="G6" s="45" t="s">
        <v>126</v>
      </c>
      <c r="H6" s="68">
        <v>0</v>
      </c>
      <c r="I6" s="2">
        <v>14.13</v>
      </c>
      <c r="J6" s="408">
        <f>H6*I6</f>
        <v>0</v>
      </c>
      <c r="K6" s="401"/>
    </row>
    <row r="7" spans="1:11" ht="14.25">
      <c r="A7" s="79" t="s">
        <v>127</v>
      </c>
      <c r="B7" s="45" t="s">
        <v>126</v>
      </c>
      <c r="C7" s="45" t="s">
        <v>126</v>
      </c>
      <c r="D7" s="45" t="s">
        <v>126</v>
      </c>
      <c r="E7" s="45" t="s">
        <v>126</v>
      </c>
      <c r="F7" s="45" t="s">
        <v>126</v>
      </c>
      <c r="G7" s="45" t="s">
        <v>126</v>
      </c>
      <c r="H7" s="68">
        <v>0</v>
      </c>
      <c r="I7" s="2">
        <v>7.69</v>
      </c>
      <c r="J7" s="408">
        <f>H7*I7</f>
        <v>0</v>
      </c>
      <c r="K7" s="401"/>
    </row>
    <row r="8" spans="1:11" ht="14.25">
      <c r="A8" s="80" t="s">
        <v>128</v>
      </c>
      <c r="B8" s="45" t="s">
        <v>126</v>
      </c>
      <c r="C8" s="45" t="s">
        <v>126</v>
      </c>
      <c r="D8" s="45" t="s">
        <v>126</v>
      </c>
      <c r="E8" s="45" t="s">
        <v>126</v>
      </c>
      <c r="F8" s="45" t="s">
        <v>126</v>
      </c>
      <c r="G8" s="45" t="s">
        <v>126</v>
      </c>
      <c r="H8" s="68">
        <v>3</v>
      </c>
      <c r="I8" s="2">
        <v>18.4</v>
      </c>
      <c r="J8" s="408">
        <f>H8*I8</f>
        <v>55.199999999999996</v>
      </c>
      <c r="K8" s="401"/>
    </row>
    <row r="9" spans="1:11" ht="15" thickBot="1">
      <c r="A9" s="92"/>
      <c r="B9" s="87"/>
      <c r="C9" s="88"/>
      <c r="D9" s="82"/>
      <c r="E9" s="89"/>
      <c r="F9" s="89"/>
      <c r="G9" s="85"/>
      <c r="H9" s="85"/>
      <c r="I9" s="85"/>
      <c r="J9" s="409">
        <f>J8+J7+J6+J5</f>
        <v>5299.2</v>
      </c>
      <c r="K9" s="402">
        <f>J9*K4</f>
        <v>0</v>
      </c>
    </row>
    <row r="10" spans="1:11" ht="14.25">
      <c r="A10" s="91" t="s">
        <v>129</v>
      </c>
      <c r="B10" s="74">
        <v>2</v>
      </c>
      <c r="C10" s="75">
        <v>7800</v>
      </c>
      <c r="D10" s="76">
        <v>0</v>
      </c>
      <c r="E10" s="77">
        <v>0.44</v>
      </c>
      <c r="F10" s="77">
        <v>0</v>
      </c>
      <c r="G10" s="78">
        <v>4.6</v>
      </c>
      <c r="H10" s="78"/>
      <c r="I10" s="78"/>
      <c r="J10" s="407">
        <f>B10*C10*E10*G10</f>
        <v>31574.399999999998</v>
      </c>
      <c r="K10" s="400"/>
    </row>
    <row r="11" spans="1:11" ht="14.25">
      <c r="A11" s="79" t="s">
        <v>130</v>
      </c>
      <c r="B11" s="45" t="s">
        <v>126</v>
      </c>
      <c r="C11" s="45" t="s">
        <v>126</v>
      </c>
      <c r="D11" s="45" t="s">
        <v>126</v>
      </c>
      <c r="E11" s="45" t="s">
        <v>126</v>
      </c>
      <c r="F11" s="45" t="s">
        <v>126</v>
      </c>
      <c r="G11" s="45" t="s">
        <v>126</v>
      </c>
      <c r="H11" s="68">
        <v>0</v>
      </c>
      <c r="I11" s="2">
        <v>12.66</v>
      </c>
      <c r="J11" s="408">
        <f>H11*I11</f>
        <v>0</v>
      </c>
      <c r="K11" s="401"/>
    </row>
    <row r="12" spans="1:11" ht="14.25">
      <c r="A12" s="79" t="s">
        <v>131</v>
      </c>
      <c r="B12" s="45" t="s">
        <v>126</v>
      </c>
      <c r="C12" s="45" t="s">
        <v>126</v>
      </c>
      <c r="D12" s="45" t="s">
        <v>126</v>
      </c>
      <c r="E12" s="45" t="s">
        <v>126</v>
      </c>
      <c r="F12" s="45" t="s">
        <v>126</v>
      </c>
      <c r="G12" s="45" t="s">
        <v>126</v>
      </c>
      <c r="H12" s="68">
        <v>0</v>
      </c>
      <c r="I12" s="2">
        <v>10.15</v>
      </c>
      <c r="J12" s="408">
        <f>H12*I12</f>
        <v>0</v>
      </c>
      <c r="K12" s="403"/>
    </row>
    <row r="13" spans="1:11" ht="14.25">
      <c r="A13" s="80" t="s">
        <v>127</v>
      </c>
      <c r="B13" s="45" t="s">
        <v>126</v>
      </c>
      <c r="C13" s="45" t="s">
        <v>126</v>
      </c>
      <c r="D13" s="45" t="s">
        <v>126</v>
      </c>
      <c r="E13" s="45" t="s">
        <v>126</v>
      </c>
      <c r="F13" s="45" t="s">
        <v>126</v>
      </c>
      <c r="G13" s="45" t="s">
        <v>126</v>
      </c>
      <c r="H13" s="68">
        <v>290</v>
      </c>
      <c r="I13" s="2">
        <v>7.69</v>
      </c>
      <c r="J13" s="408">
        <f>H13*I13</f>
        <v>2230.1</v>
      </c>
      <c r="K13" s="401"/>
    </row>
    <row r="14" spans="1:11" ht="15" thickBot="1">
      <c r="A14" s="92"/>
      <c r="B14" s="87"/>
      <c r="C14" s="88"/>
      <c r="D14" s="82"/>
      <c r="E14" s="89"/>
      <c r="F14" s="89"/>
      <c r="G14" s="85"/>
      <c r="H14" s="85"/>
      <c r="I14" s="85"/>
      <c r="J14" s="409">
        <f>SUM(J10:J13)</f>
        <v>33804.5</v>
      </c>
      <c r="K14" s="402">
        <f>J14*K4</f>
        <v>0</v>
      </c>
    </row>
    <row r="15" spans="1:11" ht="14.25">
      <c r="A15" s="91" t="s">
        <v>132</v>
      </c>
      <c r="B15" s="74">
        <v>1</v>
      </c>
      <c r="C15" s="75">
        <v>2496</v>
      </c>
      <c r="D15" s="76">
        <v>500</v>
      </c>
      <c r="E15" s="77">
        <v>0.11</v>
      </c>
      <c r="F15" s="77">
        <v>7</v>
      </c>
      <c r="G15" s="78">
        <v>4.6</v>
      </c>
      <c r="H15" s="78"/>
      <c r="I15" s="78"/>
      <c r="J15" s="407">
        <f>B15*D15*F15*G15</f>
        <v>16099.999999999998</v>
      </c>
      <c r="K15" s="400"/>
    </row>
    <row r="16" spans="1:11" ht="14.25">
      <c r="A16" s="79" t="s">
        <v>133</v>
      </c>
      <c r="B16" s="45" t="s">
        <v>126</v>
      </c>
      <c r="C16" s="45" t="s">
        <v>126</v>
      </c>
      <c r="D16" s="45" t="s">
        <v>126</v>
      </c>
      <c r="E16" s="45" t="s">
        <v>126</v>
      </c>
      <c r="F16" s="45" t="s">
        <v>126</v>
      </c>
      <c r="G16" s="45" t="s">
        <v>126</v>
      </c>
      <c r="H16" s="68">
        <v>0</v>
      </c>
      <c r="I16" s="2">
        <v>14.13</v>
      </c>
      <c r="J16" s="408">
        <f>H16*I16</f>
        <v>0</v>
      </c>
      <c r="K16" s="401"/>
    </row>
    <row r="17" spans="1:11" ht="14.25">
      <c r="A17" s="79" t="s">
        <v>127</v>
      </c>
      <c r="B17" s="45" t="s">
        <v>126</v>
      </c>
      <c r="C17" s="45" t="s">
        <v>126</v>
      </c>
      <c r="D17" s="45" t="s">
        <v>126</v>
      </c>
      <c r="E17" s="45" t="s">
        <v>126</v>
      </c>
      <c r="F17" s="45" t="s">
        <v>126</v>
      </c>
      <c r="G17" s="45" t="s">
        <v>126</v>
      </c>
      <c r="H17" s="68">
        <v>0</v>
      </c>
      <c r="I17" s="2">
        <v>7.69</v>
      </c>
      <c r="J17" s="408">
        <f>H17*I17</f>
        <v>0</v>
      </c>
      <c r="K17" s="401"/>
    </row>
    <row r="18" spans="1:11" ht="14.25">
      <c r="A18" s="80" t="s">
        <v>128</v>
      </c>
      <c r="B18" s="45" t="s">
        <v>126</v>
      </c>
      <c r="C18" s="45" t="s">
        <v>126</v>
      </c>
      <c r="D18" s="45" t="s">
        <v>126</v>
      </c>
      <c r="E18" s="45" t="s">
        <v>126</v>
      </c>
      <c r="F18" s="45" t="s">
        <v>126</v>
      </c>
      <c r="G18" s="45" t="s">
        <v>126</v>
      </c>
      <c r="H18" s="68">
        <v>3</v>
      </c>
      <c r="I18" s="2">
        <v>18.4</v>
      </c>
      <c r="J18" s="408">
        <f>H18*I18</f>
        <v>55.199999999999996</v>
      </c>
      <c r="K18" s="401"/>
    </row>
    <row r="19" spans="1:11" ht="15" thickBot="1">
      <c r="A19" s="92"/>
      <c r="B19" s="87"/>
      <c r="C19" s="88"/>
      <c r="D19" s="82"/>
      <c r="E19" s="89"/>
      <c r="F19" s="89"/>
      <c r="G19" s="85"/>
      <c r="H19" s="85"/>
      <c r="I19" s="85"/>
      <c r="J19" s="409">
        <f>J18+J17+J16+J15</f>
        <v>16155.199999999999</v>
      </c>
      <c r="K19" s="402">
        <f>J19*K4</f>
        <v>0</v>
      </c>
    </row>
    <row r="20" spans="1:11" ht="14.25">
      <c r="A20" s="73" t="s">
        <v>134</v>
      </c>
      <c r="B20" s="74">
        <v>2</v>
      </c>
      <c r="C20" s="75">
        <v>0</v>
      </c>
      <c r="D20" s="76">
        <v>468</v>
      </c>
      <c r="E20" s="146" t="s">
        <v>135</v>
      </c>
      <c r="F20" s="146">
        <v>37</v>
      </c>
      <c r="G20" s="78">
        <v>4.6</v>
      </c>
      <c r="H20" s="78"/>
      <c r="I20" s="78"/>
      <c r="J20" s="407">
        <f>G20*2*D20*F20</f>
        <v>159307.19999999998</v>
      </c>
      <c r="K20" s="400"/>
    </row>
    <row r="21" spans="1:11" ht="14.25">
      <c r="A21" s="79" t="s">
        <v>136</v>
      </c>
      <c r="B21" s="45" t="s">
        <v>126</v>
      </c>
      <c r="C21" s="45" t="s">
        <v>126</v>
      </c>
      <c r="D21" s="45" t="s">
        <v>126</v>
      </c>
      <c r="E21" s="45" t="s">
        <v>126</v>
      </c>
      <c r="F21" s="45" t="s">
        <v>126</v>
      </c>
      <c r="G21" s="45" t="s">
        <v>126</v>
      </c>
      <c r="H21" s="68">
        <v>0</v>
      </c>
      <c r="I21" s="2">
        <v>12.66</v>
      </c>
      <c r="J21" s="408">
        <f>H21*I21</f>
        <v>0</v>
      </c>
      <c r="K21" s="401"/>
    </row>
    <row r="22" spans="1:11" ht="14.25">
      <c r="A22" s="79" t="s">
        <v>127</v>
      </c>
      <c r="B22" s="45" t="s">
        <v>126</v>
      </c>
      <c r="C22" s="45" t="s">
        <v>126</v>
      </c>
      <c r="D22" s="45" t="s">
        <v>126</v>
      </c>
      <c r="E22" s="45" t="s">
        <v>126</v>
      </c>
      <c r="F22" s="45" t="s">
        <v>126</v>
      </c>
      <c r="G22" s="45" t="s">
        <v>126</v>
      </c>
      <c r="H22" s="68">
        <v>0</v>
      </c>
      <c r="I22" s="2">
        <v>7.69</v>
      </c>
      <c r="J22" s="408">
        <f>H22*I22</f>
        <v>0</v>
      </c>
      <c r="K22" s="401"/>
    </row>
    <row r="23" spans="1:11" ht="14.25">
      <c r="A23" s="80" t="s">
        <v>128</v>
      </c>
      <c r="B23" s="45" t="s">
        <v>126</v>
      </c>
      <c r="C23" s="45" t="s">
        <v>126</v>
      </c>
      <c r="D23" s="45" t="s">
        <v>126</v>
      </c>
      <c r="E23" s="45" t="s">
        <v>126</v>
      </c>
      <c r="F23" s="45" t="s">
        <v>126</v>
      </c>
      <c r="G23" s="45" t="s">
        <v>126</v>
      </c>
      <c r="H23" s="68">
        <v>5</v>
      </c>
      <c r="I23" s="2">
        <v>18.4</v>
      </c>
      <c r="J23" s="408">
        <f>H23*I23</f>
        <v>92</v>
      </c>
      <c r="K23" s="401"/>
    </row>
    <row r="24" spans="1:11" ht="15" thickBot="1">
      <c r="A24" s="86"/>
      <c r="B24" s="87"/>
      <c r="C24" s="88"/>
      <c r="D24" s="82"/>
      <c r="E24" s="89"/>
      <c r="F24" s="89"/>
      <c r="G24" s="85"/>
      <c r="H24" s="85"/>
      <c r="I24" s="85"/>
      <c r="J24" s="409">
        <f>SUM(J20:J23)</f>
        <v>159399.19999999998</v>
      </c>
      <c r="K24" s="402">
        <f>J24*K4</f>
        <v>0</v>
      </c>
    </row>
    <row r="25" spans="1:11" ht="14.25">
      <c r="A25" s="73" t="s">
        <v>137</v>
      </c>
      <c r="B25" s="74">
        <v>2</v>
      </c>
      <c r="C25" s="75">
        <v>0</v>
      </c>
      <c r="D25" s="76">
        <v>1560</v>
      </c>
      <c r="E25" s="77" t="s">
        <v>135</v>
      </c>
      <c r="F25" s="77">
        <v>15</v>
      </c>
      <c r="G25" s="78">
        <v>4.6</v>
      </c>
      <c r="H25" s="78"/>
      <c r="I25" s="78"/>
      <c r="J25" s="407">
        <f>B25*D25*F25*G25</f>
        <v>215279.99999999997</v>
      </c>
      <c r="K25" s="400"/>
    </row>
    <row r="26" spans="1:11" ht="14.25">
      <c r="A26" s="79" t="s">
        <v>136</v>
      </c>
      <c r="B26" s="45" t="s">
        <v>126</v>
      </c>
      <c r="C26" s="45" t="s">
        <v>126</v>
      </c>
      <c r="D26" s="45" t="s">
        <v>126</v>
      </c>
      <c r="E26" s="45" t="s">
        <v>126</v>
      </c>
      <c r="F26" s="45" t="s">
        <v>126</v>
      </c>
      <c r="G26" s="45" t="s">
        <v>126</v>
      </c>
      <c r="H26" s="68">
        <v>0</v>
      </c>
      <c r="I26" s="2">
        <v>11.25</v>
      </c>
      <c r="J26" s="408">
        <f>H26*I26</f>
        <v>0</v>
      </c>
      <c r="K26" s="401"/>
    </row>
    <row r="27" spans="1:11" ht="14.25">
      <c r="A27" s="79" t="s">
        <v>127</v>
      </c>
      <c r="B27" s="45" t="s">
        <v>126</v>
      </c>
      <c r="C27" s="45" t="s">
        <v>126</v>
      </c>
      <c r="D27" s="45" t="s">
        <v>126</v>
      </c>
      <c r="E27" s="45" t="s">
        <v>126</v>
      </c>
      <c r="F27" s="45" t="s">
        <v>126</v>
      </c>
      <c r="G27" s="45" t="s">
        <v>126</v>
      </c>
      <c r="H27" s="68">
        <v>0</v>
      </c>
      <c r="I27" s="2">
        <v>9.5</v>
      </c>
      <c r="J27" s="408">
        <f>H27*I27</f>
        <v>0</v>
      </c>
      <c r="K27" s="401"/>
    </row>
    <row r="28" spans="1:11" ht="14.25">
      <c r="A28" s="80" t="s">
        <v>128</v>
      </c>
      <c r="B28" s="45" t="s">
        <v>126</v>
      </c>
      <c r="C28" s="45" t="s">
        <v>126</v>
      </c>
      <c r="D28" s="45" t="s">
        <v>126</v>
      </c>
      <c r="E28" s="45" t="s">
        <v>126</v>
      </c>
      <c r="F28" s="45" t="s">
        <v>126</v>
      </c>
      <c r="G28" s="45" t="s">
        <v>126</v>
      </c>
      <c r="H28" s="68">
        <v>3.5</v>
      </c>
      <c r="I28" s="2">
        <v>18.4</v>
      </c>
      <c r="J28" s="408">
        <f>H28*I28</f>
        <v>64.39999999999999</v>
      </c>
      <c r="K28" s="401"/>
    </row>
    <row r="29" spans="1:11" ht="15" thickBot="1">
      <c r="A29" s="86"/>
      <c r="B29" s="87"/>
      <c r="C29" s="88"/>
      <c r="D29" s="82"/>
      <c r="E29" s="89"/>
      <c r="F29" s="89"/>
      <c r="G29" s="85"/>
      <c r="H29" s="85"/>
      <c r="I29" s="85"/>
      <c r="J29" s="409">
        <f>SUM(J25:J28)</f>
        <v>215344.39999999997</v>
      </c>
      <c r="K29" s="402">
        <f>J29*K4</f>
        <v>0</v>
      </c>
    </row>
    <row r="30" spans="1:11" ht="14.25">
      <c r="A30" s="73" t="s">
        <v>138</v>
      </c>
      <c r="B30" s="74">
        <v>1</v>
      </c>
      <c r="C30" s="75" t="s">
        <v>126</v>
      </c>
      <c r="D30" s="76">
        <v>520</v>
      </c>
      <c r="E30" s="77" t="s">
        <v>135</v>
      </c>
      <c r="F30" s="77">
        <v>4</v>
      </c>
      <c r="G30" s="78">
        <v>4.6</v>
      </c>
      <c r="H30" s="78"/>
      <c r="I30" s="78"/>
      <c r="J30" s="407">
        <f>B30*D30*F30*G30</f>
        <v>9568</v>
      </c>
      <c r="K30" s="400"/>
    </row>
    <row r="31" spans="1:11" ht="14.25">
      <c r="A31" s="79" t="s">
        <v>136</v>
      </c>
      <c r="B31" s="45" t="s">
        <v>126</v>
      </c>
      <c r="C31" s="45" t="s">
        <v>126</v>
      </c>
      <c r="D31" s="45" t="s">
        <v>126</v>
      </c>
      <c r="E31" s="45" t="s">
        <v>126</v>
      </c>
      <c r="F31" s="45" t="s">
        <v>126</v>
      </c>
      <c r="G31" s="45" t="s">
        <v>126</v>
      </c>
      <c r="H31" s="68">
        <v>0</v>
      </c>
      <c r="I31" s="2">
        <v>12.66</v>
      </c>
      <c r="J31" s="408">
        <f>H31*I31</f>
        <v>0</v>
      </c>
      <c r="K31" s="401"/>
    </row>
    <row r="32" spans="1:11" ht="14.25">
      <c r="A32" s="79" t="s">
        <v>133</v>
      </c>
      <c r="B32" s="45" t="s">
        <v>126</v>
      </c>
      <c r="C32" s="45" t="s">
        <v>126</v>
      </c>
      <c r="D32" s="45" t="s">
        <v>126</v>
      </c>
      <c r="E32" s="45" t="s">
        <v>126</v>
      </c>
      <c r="F32" s="45" t="s">
        <v>126</v>
      </c>
      <c r="G32" s="45" t="s">
        <v>126</v>
      </c>
      <c r="H32" s="68">
        <v>0</v>
      </c>
      <c r="I32" s="2">
        <v>14.13</v>
      </c>
      <c r="J32" s="408">
        <f>H32*I32</f>
        <v>0</v>
      </c>
      <c r="K32" s="401"/>
    </row>
    <row r="33" spans="1:11" ht="14.25">
      <c r="A33" s="80" t="s">
        <v>128</v>
      </c>
      <c r="B33" s="45" t="s">
        <v>126</v>
      </c>
      <c r="C33" s="45" t="s">
        <v>126</v>
      </c>
      <c r="D33" s="45" t="s">
        <v>126</v>
      </c>
      <c r="E33" s="45" t="s">
        <v>126</v>
      </c>
      <c r="F33" s="45" t="s">
        <v>126</v>
      </c>
      <c r="G33" s="45" t="s">
        <v>126</v>
      </c>
      <c r="H33" s="68">
        <v>2</v>
      </c>
      <c r="I33" s="2">
        <v>18.4</v>
      </c>
      <c r="J33" s="410">
        <f>H33*I33</f>
        <v>36.8</v>
      </c>
      <c r="K33" s="401"/>
    </row>
    <row r="34" spans="1:11" ht="15" thickBot="1">
      <c r="A34" s="81"/>
      <c r="B34" s="82"/>
      <c r="C34" s="82"/>
      <c r="D34" s="82"/>
      <c r="E34" s="83"/>
      <c r="F34" s="82"/>
      <c r="G34" s="82"/>
      <c r="H34" s="84"/>
      <c r="I34" s="85"/>
      <c r="J34" s="409">
        <f>J30+J31+J32+J33</f>
        <v>9604.8</v>
      </c>
      <c r="K34" s="402">
        <f>J34*K4</f>
        <v>0</v>
      </c>
    </row>
    <row r="35" spans="1:11" s="69" customFormat="1" ht="15" thickBot="1">
      <c r="A35" s="93"/>
      <c r="B35" s="96"/>
      <c r="C35" s="96"/>
      <c r="D35" s="96"/>
      <c r="E35" s="97"/>
      <c r="F35" s="96"/>
      <c r="G35" s="94"/>
      <c r="H35" s="95"/>
      <c r="I35" s="94"/>
      <c r="J35" s="411"/>
      <c r="K35" s="404"/>
    </row>
    <row r="36" spans="1:11" s="69" customFormat="1" ht="15" thickBot="1">
      <c r="A36" s="93"/>
      <c r="B36" s="96"/>
      <c r="C36" s="96"/>
      <c r="D36" s="96"/>
      <c r="E36" s="97"/>
      <c r="F36" s="96"/>
      <c r="G36" s="94"/>
      <c r="H36" s="95"/>
      <c r="I36" s="94"/>
      <c r="J36" s="411"/>
      <c r="K36" s="404"/>
    </row>
    <row r="37" spans="1:11" ht="15" thickBot="1">
      <c r="A37" s="431" t="s">
        <v>140</v>
      </c>
      <c r="B37" s="432"/>
      <c r="C37" s="432"/>
      <c r="D37" s="432"/>
      <c r="E37" s="432"/>
      <c r="F37" s="432"/>
      <c r="G37" s="432"/>
      <c r="H37" s="432"/>
      <c r="I37" s="432"/>
      <c r="J37" s="175">
        <f>J5+J10+J15+J20+J25+J30+J35+J36</f>
        <v>437073.6</v>
      </c>
      <c r="K37" s="405">
        <f>K34+K29+K24+K19+K14+M5</f>
        <v>0</v>
      </c>
    </row>
    <row r="38" spans="1:11" ht="15" thickBot="1">
      <c r="A38" s="433" t="s">
        <v>141</v>
      </c>
      <c r="B38" s="434"/>
      <c r="C38" s="434"/>
      <c r="D38" s="434"/>
      <c r="E38" s="434"/>
      <c r="F38" s="434"/>
      <c r="G38" s="434"/>
      <c r="H38" s="434"/>
      <c r="I38" s="434"/>
      <c r="J38" s="175">
        <f>SUM(J6:J8)+SUM(J11:J13)+SUM(J16:J18)+SUM(J21:J23)+SUM(J26:J28)+SUM(J31:J33)</f>
        <v>2533.7</v>
      </c>
      <c r="K38" s="405">
        <f>J38*K4</f>
        <v>0</v>
      </c>
    </row>
    <row r="39" spans="1:11" ht="15" thickBot="1">
      <c r="A39" s="433" t="s">
        <v>139</v>
      </c>
      <c r="B39" s="434"/>
      <c r="C39" s="434"/>
      <c r="D39" s="434"/>
      <c r="E39" s="434"/>
      <c r="F39" s="434"/>
      <c r="G39" s="434"/>
      <c r="H39" s="434"/>
      <c r="I39" s="434"/>
      <c r="J39" s="175">
        <f>J37+J38</f>
        <v>439607.3</v>
      </c>
      <c r="K39" s="405">
        <f>K37+K38</f>
        <v>0</v>
      </c>
    </row>
    <row r="40" ht="14.25">
      <c r="J40" s="48"/>
    </row>
    <row r="41" ht="18">
      <c r="A41" s="177"/>
    </row>
    <row r="42" ht="18">
      <c r="A42" s="177"/>
    </row>
    <row r="44" spans="3:6" ht="14.25">
      <c r="C44" s="100"/>
      <c r="D44" s="100"/>
      <c r="E44" s="100"/>
      <c r="F44" s="100"/>
    </row>
  </sheetData>
  <sheetProtection/>
  <mergeCells count="4">
    <mergeCell ref="A3:G3"/>
    <mergeCell ref="A37:I37"/>
    <mergeCell ref="A38:I38"/>
    <mergeCell ref="A39:I39"/>
  </mergeCells>
  <printOptions/>
  <pageMargins left="0.7" right="0.7" top="0.75" bottom="0.75" header="0.3" footer="0.3"/>
  <pageSetup fitToHeight="0" fitToWidth="1" horizontalDpi="1200" verticalDpi="12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6"/>
  <sheetViews>
    <sheetView zoomScale="115" zoomScaleNormal="115" zoomScalePageLayoutView="0" workbookViewId="0" topLeftCell="A19">
      <selection activeCell="A1" sqref="A1:I24"/>
    </sheetView>
  </sheetViews>
  <sheetFormatPr defaultColWidth="9.140625" defaultRowHeight="15"/>
  <cols>
    <col min="1" max="1" width="49.8515625" style="0" customWidth="1"/>
    <col min="4" max="4" width="13.8515625" style="0" customWidth="1"/>
    <col min="6" max="6" width="14.8515625" style="0" customWidth="1"/>
    <col min="7" max="7" width="12.421875" style="0" customWidth="1"/>
    <col min="8" max="8" width="10.8515625" style="0" customWidth="1"/>
    <col min="9" max="9" width="14.28125" style="0" bestFit="1" customWidth="1"/>
    <col min="10" max="10" width="13.421875" style="0" hidden="1" customWidth="1"/>
  </cols>
  <sheetData>
    <row r="3" spans="1:9" ht="15">
      <c r="A3" s="5" t="s">
        <v>245</v>
      </c>
      <c r="B3" s="6"/>
      <c r="C3" s="6"/>
      <c r="D3" s="31"/>
      <c r="E3" s="7"/>
      <c r="F3" s="7"/>
      <c r="G3" s="8"/>
      <c r="H3" s="7"/>
      <c r="I3" s="8"/>
    </row>
    <row r="4" spans="1:10" ht="71.25">
      <c r="A4" s="9" t="s">
        <v>86</v>
      </c>
      <c r="B4" s="9" t="s">
        <v>87</v>
      </c>
      <c r="C4" s="9" t="s">
        <v>88</v>
      </c>
      <c r="D4" s="9" t="s">
        <v>89</v>
      </c>
      <c r="E4" s="9" t="s">
        <v>90</v>
      </c>
      <c r="F4" s="9" t="s">
        <v>91</v>
      </c>
      <c r="G4" s="10" t="s">
        <v>92</v>
      </c>
      <c r="H4" s="9" t="s">
        <v>93</v>
      </c>
      <c r="I4" s="10" t="s">
        <v>94</v>
      </c>
      <c r="J4" s="169">
        <v>1.0655</v>
      </c>
    </row>
    <row r="5" spans="1:10" ht="15">
      <c r="A5" s="11" t="s">
        <v>95</v>
      </c>
      <c r="B5" s="12">
        <v>1</v>
      </c>
      <c r="C5" s="13">
        <v>4.5</v>
      </c>
      <c r="D5" s="13">
        <v>0.6</v>
      </c>
      <c r="E5" s="14">
        <f>C5*D5</f>
        <v>2.6999999999999997</v>
      </c>
      <c r="F5" s="32">
        <v>1248</v>
      </c>
      <c r="G5" s="15">
        <f>B5*E5*F5</f>
        <v>3369.5999999999995</v>
      </c>
      <c r="H5" s="2">
        <v>0.43</v>
      </c>
      <c r="I5" s="2">
        <f aca="true" t="shared" si="0" ref="I5:I23">G5*H5</f>
        <v>1448.9279999999997</v>
      </c>
      <c r="J5" s="171"/>
    </row>
    <row r="6" spans="1:10" ht="15">
      <c r="A6" s="33" t="s">
        <v>96</v>
      </c>
      <c r="B6" s="16">
        <v>1</v>
      </c>
      <c r="C6" s="17">
        <v>0.65</v>
      </c>
      <c r="D6" s="13">
        <v>0.6</v>
      </c>
      <c r="E6" s="14">
        <f aca="true" t="shared" si="1" ref="E6:E23">C6*D6</f>
        <v>0.39</v>
      </c>
      <c r="F6" s="18">
        <v>1248</v>
      </c>
      <c r="G6" s="15">
        <f>B6*E6*F6</f>
        <v>486.72</v>
      </c>
      <c r="H6" s="2">
        <v>0.43</v>
      </c>
      <c r="I6" s="2">
        <f t="shared" si="0"/>
        <v>209.2896</v>
      </c>
      <c r="J6" s="171"/>
    </row>
    <row r="7" spans="1:10" ht="15">
      <c r="A7" s="11" t="s">
        <v>97</v>
      </c>
      <c r="B7" s="12">
        <v>1</v>
      </c>
      <c r="C7" s="13">
        <v>7</v>
      </c>
      <c r="D7" s="13">
        <v>0.6</v>
      </c>
      <c r="E7" s="14">
        <f t="shared" si="1"/>
        <v>4.2</v>
      </c>
      <c r="F7" s="32">
        <v>624</v>
      </c>
      <c r="G7" s="15">
        <f aca="true" t="shared" si="2" ref="G7:G23">B7*E7*F7</f>
        <v>2620.8</v>
      </c>
      <c r="H7" s="2">
        <v>0.43</v>
      </c>
      <c r="I7" s="2">
        <f t="shared" si="0"/>
        <v>1126.944</v>
      </c>
      <c r="J7" s="171"/>
    </row>
    <row r="8" spans="1:10" ht="15">
      <c r="A8" s="19" t="s">
        <v>98</v>
      </c>
      <c r="B8" s="16">
        <v>1</v>
      </c>
      <c r="C8" s="17">
        <v>57.6</v>
      </c>
      <c r="D8" s="13">
        <v>0.6</v>
      </c>
      <c r="E8" s="14">
        <f t="shared" si="1"/>
        <v>34.56</v>
      </c>
      <c r="F8" s="18">
        <v>936</v>
      </c>
      <c r="G8" s="15">
        <f t="shared" si="2"/>
        <v>32348.160000000003</v>
      </c>
      <c r="H8" s="2">
        <v>0.43</v>
      </c>
      <c r="I8" s="2">
        <f t="shared" si="0"/>
        <v>13909.708800000002</v>
      </c>
      <c r="J8" s="171"/>
    </row>
    <row r="9" spans="1:10" ht="15">
      <c r="A9" s="19" t="s">
        <v>99</v>
      </c>
      <c r="B9" s="16">
        <v>1</v>
      </c>
      <c r="C9" s="17">
        <v>6</v>
      </c>
      <c r="D9" s="13">
        <v>0.6</v>
      </c>
      <c r="E9" s="14">
        <f t="shared" si="1"/>
        <v>3.5999999999999996</v>
      </c>
      <c r="F9" s="18">
        <v>312</v>
      </c>
      <c r="G9" s="15">
        <f t="shared" si="2"/>
        <v>1123.1999999999998</v>
      </c>
      <c r="H9" s="2">
        <v>0.43</v>
      </c>
      <c r="I9" s="2">
        <f t="shared" si="0"/>
        <v>482.97599999999994</v>
      </c>
      <c r="J9" s="171"/>
    </row>
    <row r="10" spans="1:10" ht="15">
      <c r="A10" s="19" t="s">
        <v>100</v>
      </c>
      <c r="B10" s="20">
        <v>1</v>
      </c>
      <c r="C10" s="14">
        <v>2.5</v>
      </c>
      <c r="D10" s="13">
        <v>0.6</v>
      </c>
      <c r="E10" s="14">
        <f t="shared" si="1"/>
        <v>1.5</v>
      </c>
      <c r="F10" s="32">
        <v>312</v>
      </c>
      <c r="G10" s="15">
        <f t="shared" si="2"/>
        <v>468</v>
      </c>
      <c r="H10" s="2">
        <v>0.43</v>
      </c>
      <c r="I10" s="2">
        <f t="shared" si="0"/>
        <v>201.24</v>
      </c>
      <c r="J10" s="171"/>
    </row>
    <row r="11" spans="1:10" ht="15">
      <c r="A11" s="19" t="s">
        <v>101</v>
      </c>
      <c r="B11" s="34">
        <v>1</v>
      </c>
      <c r="C11" s="32">
        <v>0.75</v>
      </c>
      <c r="D11" s="13">
        <v>0.6</v>
      </c>
      <c r="E11" s="14">
        <f t="shared" si="1"/>
        <v>0.44999999999999996</v>
      </c>
      <c r="F11" s="32">
        <v>365</v>
      </c>
      <c r="G11" s="15">
        <f t="shared" si="2"/>
        <v>164.24999999999997</v>
      </c>
      <c r="H11" s="2">
        <v>0.43</v>
      </c>
      <c r="I11" s="2">
        <f t="shared" si="0"/>
        <v>70.62749999999998</v>
      </c>
      <c r="J11" s="171"/>
    </row>
    <row r="12" spans="1:10" ht="15">
      <c r="A12" s="21" t="s">
        <v>102</v>
      </c>
      <c r="B12" s="22">
        <v>1</v>
      </c>
      <c r="C12" s="23">
        <v>1.5</v>
      </c>
      <c r="D12" s="23">
        <v>0.6</v>
      </c>
      <c r="E12" s="24">
        <f t="shared" si="1"/>
        <v>0.8999999999999999</v>
      </c>
      <c r="F12" s="35">
        <v>936</v>
      </c>
      <c r="G12" s="15">
        <f t="shared" si="2"/>
        <v>842.3999999999999</v>
      </c>
      <c r="H12" s="25">
        <v>0.43</v>
      </c>
      <c r="I12" s="25">
        <f t="shared" si="0"/>
        <v>362.2319999999999</v>
      </c>
      <c r="J12" s="171"/>
    </row>
    <row r="13" spans="1:10" ht="30">
      <c r="A13" s="36" t="s">
        <v>103</v>
      </c>
      <c r="B13" s="22">
        <v>1</v>
      </c>
      <c r="C13" s="23">
        <v>18.5</v>
      </c>
      <c r="D13" s="23">
        <v>0.75</v>
      </c>
      <c r="E13" s="26">
        <f t="shared" si="1"/>
        <v>13.875</v>
      </c>
      <c r="F13" s="35">
        <v>312</v>
      </c>
      <c r="G13" s="15">
        <f t="shared" si="2"/>
        <v>4329</v>
      </c>
      <c r="H13" s="25">
        <v>0.43</v>
      </c>
      <c r="I13" s="25">
        <f t="shared" si="0"/>
        <v>1861.47</v>
      </c>
      <c r="J13" s="171"/>
    </row>
    <row r="14" spans="1:10" ht="15">
      <c r="A14" s="36" t="s">
        <v>104</v>
      </c>
      <c r="B14" s="12">
        <v>2</v>
      </c>
      <c r="C14" s="13">
        <v>3.52</v>
      </c>
      <c r="D14" s="23">
        <v>0.75</v>
      </c>
      <c r="E14" s="14">
        <f t="shared" si="1"/>
        <v>2.64</v>
      </c>
      <c r="F14" s="32">
        <f>1182/2</f>
        <v>591</v>
      </c>
      <c r="G14" s="15">
        <f t="shared" si="2"/>
        <v>3120.48</v>
      </c>
      <c r="H14" s="2">
        <v>0.43</v>
      </c>
      <c r="I14" s="2">
        <f t="shared" si="0"/>
        <v>1341.8064</v>
      </c>
      <c r="J14" s="171"/>
    </row>
    <row r="15" spans="1:10" ht="30">
      <c r="A15" s="36" t="s">
        <v>105</v>
      </c>
      <c r="B15" s="12">
        <v>2</v>
      </c>
      <c r="C15" s="13">
        <v>5.5</v>
      </c>
      <c r="D15" s="23">
        <v>0.75</v>
      </c>
      <c r="E15" s="27">
        <f t="shared" si="1"/>
        <v>4.125</v>
      </c>
      <c r="F15" s="32">
        <v>936</v>
      </c>
      <c r="G15" s="15">
        <f t="shared" si="2"/>
        <v>7722</v>
      </c>
      <c r="H15" s="2">
        <v>0.43</v>
      </c>
      <c r="I15" s="2">
        <f t="shared" si="0"/>
        <v>3320.46</v>
      </c>
      <c r="J15" s="171"/>
    </row>
    <row r="16" spans="1:10" s="69" customFormat="1" ht="15">
      <c r="A16" s="161" t="s">
        <v>106</v>
      </c>
      <c r="B16" s="162">
        <v>1</v>
      </c>
      <c r="C16" s="163">
        <v>120.0004</v>
      </c>
      <c r="D16" s="164">
        <v>0.6</v>
      </c>
      <c r="E16" s="165">
        <f t="shared" si="1"/>
        <v>72.00023999999999</v>
      </c>
      <c r="F16" s="136">
        <v>5118</v>
      </c>
      <c r="G16" s="166">
        <f>F16*E16</f>
        <v>368497.22831999994</v>
      </c>
      <c r="H16" s="129">
        <v>0.43</v>
      </c>
      <c r="I16" s="129">
        <f t="shared" si="0"/>
        <v>158453.80817759997</v>
      </c>
      <c r="J16" s="172"/>
    </row>
    <row r="17" spans="1:10" ht="15">
      <c r="A17" s="37" t="s">
        <v>107</v>
      </c>
      <c r="B17" s="12">
        <v>2</v>
      </c>
      <c r="C17" s="13">
        <v>2.2</v>
      </c>
      <c r="D17" s="13">
        <v>0.6</v>
      </c>
      <c r="E17" s="14">
        <f t="shared" si="1"/>
        <v>1.32</v>
      </c>
      <c r="F17" s="32">
        <v>936</v>
      </c>
      <c r="G17" s="15">
        <f t="shared" si="2"/>
        <v>2471.04</v>
      </c>
      <c r="H17" s="2">
        <v>0.43</v>
      </c>
      <c r="I17" s="2">
        <f t="shared" si="0"/>
        <v>1062.5472</v>
      </c>
      <c r="J17" s="171"/>
    </row>
    <row r="18" spans="1:10" ht="15">
      <c r="A18" s="19" t="s">
        <v>108</v>
      </c>
      <c r="B18" s="12">
        <v>1</v>
      </c>
      <c r="C18" s="13">
        <v>1.5</v>
      </c>
      <c r="D18" s="13">
        <v>0.6</v>
      </c>
      <c r="E18" s="14">
        <f t="shared" si="1"/>
        <v>0.8999999999999999</v>
      </c>
      <c r="F18" s="32">
        <v>936</v>
      </c>
      <c r="G18" s="15">
        <f t="shared" si="2"/>
        <v>842.3999999999999</v>
      </c>
      <c r="H18" s="2">
        <v>0.43</v>
      </c>
      <c r="I18" s="2">
        <f t="shared" si="0"/>
        <v>362.2319999999999</v>
      </c>
      <c r="J18" s="171"/>
    </row>
    <row r="19" spans="1:10" ht="15">
      <c r="A19" s="19" t="s">
        <v>109</v>
      </c>
      <c r="B19" s="12">
        <v>1</v>
      </c>
      <c r="C19" s="13">
        <v>16</v>
      </c>
      <c r="D19" s="28">
        <v>0.56</v>
      </c>
      <c r="E19" s="14">
        <f t="shared" si="1"/>
        <v>8.96</v>
      </c>
      <c r="F19" s="38">
        <v>2058.985</v>
      </c>
      <c r="G19" s="15">
        <v>18448.51</v>
      </c>
      <c r="H19" s="2">
        <v>0.43</v>
      </c>
      <c r="I19" s="2">
        <f t="shared" si="0"/>
        <v>7932.859299999999</v>
      </c>
      <c r="J19" s="171"/>
    </row>
    <row r="20" spans="1:10" ht="15">
      <c r="A20" s="19" t="s">
        <v>110</v>
      </c>
      <c r="B20" s="12">
        <v>1</v>
      </c>
      <c r="C20" s="13">
        <v>15</v>
      </c>
      <c r="D20" s="13">
        <v>0.6</v>
      </c>
      <c r="E20" s="14">
        <f t="shared" si="1"/>
        <v>9</v>
      </c>
      <c r="F20" s="32">
        <v>940</v>
      </c>
      <c r="G20" s="15">
        <f t="shared" si="2"/>
        <v>8460</v>
      </c>
      <c r="H20" s="2">
        <v>0.43</v>
      </c>
      <c r="I20" s="2">
        <f t="shared" si="0"/>
        <v>3637.7999999999997</v>
      </c>
      <c r="J20" s="171"/>
    </row>
    <row r="21" spans="1:10" ht="15">
      <c r="A21" s="19" t="s">
        <v>111</v>
      </c>
      <c r="B21" s="12">
        <v>1</v>
      </c>
      <c r="C21" s="13">
        <v>30</v>
      </c>
      <c r="D21" s="13">
        <v>0.6</v>
      </c>
      <c r="E21" s="14">
        <f t="shared" si="1"/>
        <v>18</v>
      </c>
      <c r="F21" s="32">
        <v>940</v>
      </c>
      <c r="G21" s="15">
        <f t="shared" si="2"/>
        <v>16920</v>
      </c>
      <c r="H21" s="2">
        <v>0.43</v>
      </c>
      <c r="I21" s="2">
        <f t="shared" si="0"/>
        <v>7275.599999999999</v>
      </c>
      <c r="J21" s="171"/>
    </row>
    <row r="22" spans="1:10" ht="15">
      <c r="A22" s="19" t="s">
        <v>112</v>
      </c>
      <c r="B22" s="12">
        <v>1</v>
      </c>
      <c r="C22" s="13">
        <v>13.6</v>
      </c>
      <c r="D22" s="13">
        <v>0.6</v>
      </c>
      <c r="E22" s="14">
        <f t="shared" si="1"/>
        <v>8.16</v>
      </c>
      <c r="F22" s="32">
        <v>2880</v>
      </c>
      <c r="G22" s="15">
        <f t="shared" si="2"/>
        <v>23500.8</v>
      </c>
      <c r="H22" s="2">
        <v>0.43</v>
      </c>
      <c r="I22" s="2">
        <f t="shared" si="0"/>
        <v>10105.344</v>
      </c>
      <c r="J22" s="171"/>
    </row>
    <row r="23" spans="1:10" ht="15">
      <c r="A23" s="29" t="s">
        <v>113</v>
      </c>
      <c r="B23" s="12">
        <v>1</v>
      </c>
      <c r="C23" s="13">
        <v>3</v>
      </c>
      <c r="D23" s="13">
        <v>0.6</v>
      </c>
      <c r="E23" s="14">
        <f t="shared" si="1"/>
        <v>1.7999999999999998</v>
      </c>
      <c r="F23" s="32">
        <f>10*312</f>
        <v>3120</v>
      </c>
      <c r="G23" s="15">
        <f t="shared" si="2"/>
        <v>5615.999999999999</v>
      </c>
      <c r="H23" s="2">
        <v>0.43</v>
      </c>
      <c r="I23" s="2">
        <f t="shared" si="0"/>
        <v>2414.8799999999997</v>
      </c>
      <c r="J23" s="171"/>
    </row>
    <row r="24" spans="1:10" ht="15">
      <c r="A24" s="39" t="s">
        <v>114</v>
      </c>
      <c r="B24" s="40"/>
      <c r="C24" s="40"/>
      <c r="D24" s="40"/>
      <c r="E24" s="40"/>
      <c r="F24" s="40"/>
      <c r="G24" s="41">
        <f>SUM(G5:G23)</f>
        <v>501350.5883199999</v>
      </c>
      <c r="H24" s="42"/>
      <c r="I24" s="30">
        <f>SUM(I5:I23)</f>
        <v>215580.75297759997</v>
      </c>
      <c r="J24" s="170"/>
    </row>
    <row r="26" ht="15">
      <c r="A26" s="174"/>
    </row>
  </sheetData>
  <sheetProtection/>
  <printOptions/>
  <pageMargins left="0.7" right="0.7" top="0.75" bottom="0.75" header="0.3" footer="0.3"/>
  <pageSetup fitToHeight="0" fitToWidth="1" horizontalDpi="1200" verticalDpi="1200" orientation="landscape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4"/>
  <sheetViews>
    <sheetView zoomScale="115" zoomScaleNormal="115" zoomScalePageLayoutView="0" workbookViewId="0" topLeftCell="A13">
      <selection activeCell="B48" sqref="B48"/>
    </sheetView>
  </sheetViews>
  <sheetFormatPr defaultColWidth="9.140625" defaultRowHeight="15"/>
  <cols>
    <col min="1" max="1" width="67.421875" style="0" customWidth="1"/>
    <col min="2" max="2" width="31.00390625" style="0" customWidth="1"/>
    <col min="3" max="3" width="25.28125" style="0" customWidth="1"/>
    <col min="4" max="4" width="20.7109375" style="0" customWidth="1"/>
    <col min="5" max="5" width="13.421875" style="0" bestFit="1" customWidth="1"/>
  </cols>
  <sheetData>
    <row r="3" spans="1:4" ht="14.25">
      <c r="A3" s="430" t="s">
        <v>149</v>
      </c>
      <c r="B3" s="430"/>
      <c r="C3" s="430"/>
      <c r="D3" s="43"/>
    </row>
    <row r="4" spans="1:5" ht="41.25">
      <c r="A4" s="9" t="s">
        <v>150</v>
      </c>
      <c r="B4" s="9" t="s">
        <v>151</v>
      </c>
      <c r="C4" s="9" t="s">
        <v>152</v>
      </c>
      <c r="D4" s="10" t="s">
        <v>94</v>
      </c>
      <c r="E4" s="243"/>
    </row>
    <row r="5" spans="1:5" ht="14.25">
      <c r="A5" s="64" t="s">
        <v>143</v>
      </c>
      <c r="B5" s="1">
        <v>1</v>
      </c>
      <c r="C5" s="64"/>
      <c r="D5" s="3">
        <f>SUM(D6:D7)</f>
        <v>210</v>
      </c>
      <c r="E5" s="244"/>
    </row>
    <row r="6" spans="1:5" ht="14.25">
      <c r="A6" s="60" t="s">
        <v>153</v>
      </c>
      <c r="B6" s="44">
        <v>5</v>
      </c>
      <c r="C6" s="2">
        <v>6</v>
      </c>
      <c r="D6" s="2">
        <f>B6*C6</f>
        <v>30</v>
      </c>
      <c r="E6" s="243"/>
    </row>
    <row r="7" spans="1:5" ht="14.25">
      <c r="A7" s="60" t="s">
        <v>154</v>
      </c>
      <c r="B7" s="45">
        <v>15</v>
      </c>
      <c r="C7" s="2">
        <v>12</v>
      </c>
      <c r="D7" s="2">
        <f>B7*C7</f>
        <v>180</v>
      </c>
      <c r="E7" s="243"/>
    </row>
    <row r="8" spans="1:5" ht="14.25">
      <c r="A8" s="65" t="s">
        <v>155</v>
      </c>
      <c r="B8" s="1">
        <v>2</v>
      </c>
      <c r="C8" s="64"/>
      <c r="D8" s="3">
        <f>SUM(D9:D12)</f>
        <v>334</v>
      </c>
      <c r="E8" s="244"/>
    </row>
    <row r="9" spans="1:5" ht="14.25">
      <c r="A9" s="60" t="s">
        <v>156</v>
      </c>
      <c r="B9" s="44">
        <v>6</v>
      </c>
      <c r="C9" s="2">
        <v>30</v>
      </c>
      <c r="D9" s="2">
        <f>B9*C9</f>
        <v>180</v>
      </c>
      <c r="E9" s="243"/>
    </row>
    <row r="10" spans="1:5" ht="14.25">
      <c r="A10" s="60" t="s">
        <v>157</v>
      </c>
      <c r="B10" s="45">
        <v>2</v>
      </c>
      <c r="C10" s="2">
        <v>24</v>
      </c>
      <c r="D10" s="2">
        <f aca="true" t="shared" si="0" ref="D10:D16">B10*C10</f>
        <v>48</v>
      </c>
      <c r="E10" s="243"/>
    </row>
    <row r="11" spans="1:5" ht="14.25">
      <c r="A11" s="60" t="s">
        <v>158</v>
      </c>
      <c r="B11" s="45">
        <v>6</v>
      </c>
      <c r="C11" s="2">
        <v>12</v>
      </c>
      <c r="D11" s="2">
        <f t="shared" si="0"/>
        <v>72</v>
      </c>
      <c r="E11" s="243"/>
    </row>
    <row r="12" spans="1:5" ht="14.25">
      <c r="A12" s="60" t="s">
        <v>159</v>
      </c>
      <c r="B12" s="45">
        <v>4</v>
      </c>
      <c r="C12" s="2">
        <v>8.5</v>
      </c>
      <c r="D12" s="2">
        <f t="shared" si="0"/>
        <v>34</v>
      </c>
      <c r="E12" s="243"/>
    </row>
    <row r="13" spans="1:5" ht="14.25">
      <c r="A13" s="66" t="s">
        <v>144</v>
      </c>
      <c r="B13" s="44">
        <v>2</v>
      </c>
      <c r="C13" s="2"/>
      <c r="D13" s="3">
        <f>SUM(D14:D16)</f>
        <v>796</v>
      </c>
      <c r="E13" s="244"/>
    </row>
    <row r="14" spans="1:5" ht="14.25">
      <c r="A14" s="60" t="s">
        <v>160</v>
      </c>
      <c r="B14" s="44">
        <v>4</v>
      </c>
      <c r="C14" s="2">
        <v>14</v>
      </c>
      <c r="D14" s="2">
        <f t="shared" si="0"/>
        <v>56</v>
      </c>
      <c r="E14" s="245"/>
    </row>
    <row r="15" spans="1:5" ht="14.25">
      <c r="A15" s="60" t="s">
        <v>161</v>
      </c>
      <c r="B15" s="44">
        <v>8</v>
      </c>
      <c r="C15" s="2">
        <v>30</v>
      </c>
      <c r="D15" s="2">
        <f t="shared" si="0"/>
        <v>240</v>
      </c>
      <c r="E15" s="243"/>
    </row>
    <row r="16" spans="1:5" ht="14.25">
      <c r="A16" s="46" t="s">
        <v>162</v>
      </c>
      <c r="B16" s="44">
        <v>4</v>
      </c>
      <c r="C16" s="2">
        <v>125</v>
      </c>
      <c r="D16" s="2">
        <f t="shared" si="0"/>
        <v>500</v>
      </c>
      <c r="E16" s="243"/>
    </row>
    <row r="17" spans="1:5" ht="14.25">
      <c r="A17" s="64" t="s">
        <v>145</v>
      </c>
      <c r="B17" s="16">
        <v>1</v>
      </c>
      <c r="C17" s="64"/>
      <c r="D17" s="3">
        <f>SUM(D18:D19)</f>
        <v>270</v>
      </c>
      <c r="E17" s="244"/>
    </row>
    <row r="18" spans="1:5" ht="14.25">
      <c r="A18" s="60" t="s">
        <v>161</v>
      </c>
      <c r="B18" s="44">
        <v>4</v>
      </c>
      <c r="C18" s="2">
        <v>30</v>
      </c>
      <c r="D18" s="2">
        <f>B18*C18</f>
        <v>120</v>
      </c>
      <c r="E18" s="243"/>
    </row>
    <row r="19" spans="1:5" ht="14.25">
      <c r="A19" s="60" t="s">
        <v>163</v>
      </c>
      <c r="B19" s="45">
        <v>1</v>
      </c>
      <c r="C19" s="2">
        <v>150</v>
      </c>
      <c r="D19" s="2">
        <f>B19*C19</f>
        <v>150</v>
      </c>
      <c r="E19" s="243"/>
    </row>
    <row r="20" spans="1:5" ht="14.25">
      <c r="A20" s="66" t="s">
        <v>146</v>
      </c>
      <c r="B20" s="45">
        <v>2</v>
      </c>
      <c r="C20" s="2"/>
      <c r="D20" s="3">
        <f>SUM(D21:D25)</f>
        <v>467</v>
      </c>
      <c r="E20" s="244"/>
    </row>
    <row r="21" spans="1:5" ht="14.25">
      <c r="A21" s="60" t="s">
        <v>164</v>
      </c>
      <c r="B21" s="45">
        <v>8</v>
      </c>
      <c r="C21" s="2">
        <v>28</v>
      </c>
      <c r="D21" s="2">
        <f aca="true" t="shared" si="1" ref="D21:D30">B21*C21</f>
        <v>224</v>
      </c>
      <c r="E21" s="243"/>
    </row>
    <row r="22" spans="1:5" ht="14.25">
      <c r="A22" s="60" t="s">
        <v>165</v>
      </c>
      <c r="B22" s="44">
        <v>2</v>
      </c>
      <c r="C22" s="2">
        <v>24</v>
      </c>
      <c r="D22" s="2">
        <f t="shared" si="1"/>
        <v>48</v>
      </c>
      <c r="E22" s="243"/>
    </row>
    <row r="23" spans="1:5" ht="14.25">
      <c r="A23" s="60" t="s">
        <v>166</v>
      </c>
      <c r="B23" s="44">
        <v>4</v>
      </c>
      <c r="C23" s="2">
        <v>15</v>
      </c>
      <c r="D23" s="2">
        <f t="shared" si="1"/>
        <v>60</v>
      </c>
      <c r="E23" s="243"/>
    </row>
    <row r="24" spans="1:5" ht="14.25">
      <c r="A24" s="60" t="s">
        <v>167</v>
      </c>
      <c r="B24" s="45">
        <v>2</v>
      </c>
      <c r="C24" s="2">
        <v>35</v>
      </c>
      <c r="D24" s="2">
        <f t="shared" si="1"/>
        <v>70</v>
      </c>
      <c r="E24" s="243"/>
    </row>
    <row r="25" spans="1:5" ht="14.25">
      <c r="A25" s="60" t="s">
        <v>168</v>
      </c>
      <c r="B25" s="45">
        <v>1</v>
      </c>
      <c r="C25" s="2">
        <v>65</v>
      </c>
      <c r="D25" s="2">
        <f t="shared" si="1"/>
        <v>65</v>
      </c>
      <c r="E25" s="243"/>
    </row>
    <row r="26" spans="1:5" ht="14.25">
      <c r="A26" s="67" t="s">
        <v>147</v>
      </c>
      <c r="B26" s="45">
        <v>2</v>
      </c>
      <c r="C26" s="2"/>
      <c r="D26" s="3">
        <f>SUM(D27:D31)</f>
        <v>458</v>
      </c>
      <c r="E26" s="244"/>
    </row>
    <row r="27" spans="1:5" ht="14.25">
      <c r="A27" s="60" t="s">
        <v>164</v>
      </c>
      <c r="B27" s="45">
        <v>8</v>
      </c>
      <c r="C27" s="2">
        <v>25</v>
      </c>
      <c r="D27" s="2">
        <f t="shared" si="1"/>
        <v>200</v>
      </c>
      <c r="E27" s="243"/>
    </row>
    <row r="28" spans="1:5" ht="14.25">
      <c r="A28" s="60" t="s">
        <v>165</v>
      </c>
      <c r="B28" s="45">
        <v>1</v>
      </c>
      <c r="C28" s="2">
        <v>24</v>
      </c>
      <c r="D28" s="2">
        <f t="shared" si="1"/>
        <v>24</v>
      </c>
      <c r="E28" s="243"/>
    </row>
    <row r="29" spans="1:5" ht="14.25">
      <c r="A29" s="60" t="s">
        <v>166</v>
      </c>
      <c r="B29" s="45">
        <v>4</v>
      </c>
      <c r="C29" s="2">
        <v>15</v>
      </c>
      <c r="D29" s="2">
        <f t="shared" si="1"/>
        <v>60</v>
      </c>
      <c r="E29" s="243"/>
    </row>
    <row r="30" spans="1:5" ht="14.25">
      <c r="A30" s="60" t="s">
        <v>167</v>
      </c>
      <c r="B30" s="45">
        <v>2</v>
      </c>
      <c r="C30" s="2">
        <v>22</v>
      </c>
      <c r="D30" s="2">
        <f t="shared" si="1"/>
        <v>44</v>
      </c>
      <c r="E30" s="243"/>
    </row>
    <row r="31" spans="1:8" ht="14.25">
      <c r="A31" s="60" t="s">
        <v>168</v>
      </c>
      <c r="B31" s="45">
        <v>2</v>
      </c>
      <c r="C31" s="2">
        <v>65</v>
      </c>
      <c r="D31" s="2">
        <f>B31*C31</f>
        <v>130</v>
      </c>
      <c r="E31" s="243"/>
      <c r="G31" s="109"/>
      <c r="H31" s="109"/>
    </row>
    <row r="32" spans="1:8" ht="14.25">
      <c r="A32" s="66" t="s">
        <v>169</v>
      </c>
      <c r="B32" s="45">
        <v>2</v>
      </c>
      <c r="C32" s="2"/>
      <c r="D32" s="3">
        <f>SUM(D33)</f>
        <v>750</v>
      </c>
      <c r="E32" s="244"/>
      <c r="G32" s="168"/>
      <c r="H32" s="109"/>
    </row>
    <row r="33" spans="1:8" ht="14.25">
      <c r="A33" s="60" t="s">
        <v>170</v>
      </c>
      <c r="B33" s="45">
        <v>1</v>
      </c>
      <c r="C33" s="2">
        <v>750</v>
      </c>
      <c r="D33" s="2">
        <f>C33</f>
        <v>750</v>
      </c>
      <c r="E33" s="243"/>
      <c r="G33" s="168"/>
      <c r="H33" s="109"/>
    </row>
    <row r="34" spans="1:8" ht="14.25">
      <c r="A34" s="115" t="s">
        <v>106</v>
      </c>
      <c r="B34" s="103"/>
      <c r="C34" s="101"/>
      <c r="D34" s="102"/>
      <c r="E34" s="243"/>
      <c r="G34" s="168"/>
      <c r="H34" s="109"/>
    </row>
    <row r="35" spans="1:8" s="69" customFormat="1" ht="14.25">
      <c r="A35" s="137" t="s">
        <v>171</v>
      </c>
      <c r="B35" s="138">
        <v>5812.62</v>
      </c>
      <c r="C35" s="129">
        <v>22.5</v>
      </c>
      <c r="D35" s="129">
        <f aca="true" t="shared" si="2" ref="D35:D40">B35*C35</f>
        <v>130783.95</v>
      </c>
      <c r="E35" s="246"/>
      <c r="G35" s="168"/>
      <c r="H35" s="167"/>
    </row>
    <row r="36" spans="1:8" s="69" customFormat="1" ht="14.25">
      <c r="A36" s="137" t="s">
        <v>172</v>
      </c>
      <c r="B36" s="138">
        <f>30432.6*0.026</f>
        <v>791.2475999999999</v>
      </c>
      <c r="C36" s="129">
        <v>22.5</v>
      </c>
      <c r="D36" s="129">
        <f t="shared" si="2"/>
        <v>17803.071</v>
      </c>
      <c r="E36" s="247"/>
      <c r="G36" s="168"/>
      <c r="H36" s="167"/>
    </row>
    <row r="37" spans="1:8" s="69" customFormat="1" ht="14.25">
      <c r="A37" s="137" t="s">
        <v>173</v>
      </c>
      <c r="B37" s="138">
        <v>1234.53</v>
      </c>
      <c r="C37" s="129">
        <v>157.5</v>
      </c>
      <c r="D37" s="129">
        <f t="shared" si="2"/>
        <v>194438.475</v>
      </c>
      <c r="E37" s="246"/>
      <c r="G37" s="168"/>
      <c r="H37" s="167"/>
    </row>
    <row r="38" spans="1:8" s="69" customFormat="1" ht="14.25">
      <c r="A38" s="137" t="s">
        <v>174</v>
      </c>
      <c r="B38" s="139">
        <v>37127.77</v>
      </c>
      <c r="C38" s="129">
        <v>0.9</v>
      </c>
      <c r="D38" s="129">
        <f t="shared" si="2"/>
        <v>33414.992999999995</v>
      </c>
      <c r="E38" s="246"/>
      <c r="G38" s="167"/>
      <c r="H38" s="167"/>
    </row>
    <row r="39" spans="1:8" s="69" customFormat="1" ht="14.25">
      <c r="A39" s="137" t="s">
        <v>252</v>
      </c>
      <c r="B39" s="139">
        <v>30432</v>
      </c>
      <c r="C39" s="129">
        <v>6.88</v>
      </c>
      <c r="D39" s="129">
        <f>C39*B39</f>
        <v>209372.16</v>
      </c>
      <c r="E39" s="247"/>
      <c r="G39" s="167"/>
      <c r="H39" s="167"/>
    </row>
    <row r="40" spans="1:5" s="69" customFormat="1" ht="14.25">
      <c r="A40" s="137" t="s">
        <v>175</v>
      </c>
      <c r="B40" s="139">
        <v>1148.4</v>
      </c>
      <c r="C40" s="129">
        <f>40.5/20</f>
        <v>2.025</v>
      </c>
      <c r="D40" s="129">
        <f t="shared" si="2"/>
        <v>2325.51</v>
      </c>
      <c r="E40" s="246"/>
    </row>
    <row r="41" spans="1:5" ht="14.25">
      <c r="A41" s="435" t="s">
        <v>176</v>
      </c>
      <c r="B41" s="436"/>
      <c r="C41" s="437"/>
      <c r="D41" s="47">
        <f>D40+D39+D38+D37+D36+D35+D32+D26+D20+D17+D13+D5+D8</f>
        <v>591423.159</v>
      </c>
      <c r="E41" s="244"/>
    </row>
    <row r="43" spans="1:5" ht="14.25" hidden="1">
      <c r="A43" s="100"/>
      <c r="C43" s="100"/>
      <c r="D43" s="100"/>
      <c r="E43" s="100"/>
    </row>
    <row r="44" spans="1:5" ht="14.25" hidden="1">
      <c r="A44" s="100"/>
      <c r="B44" s="100"/>
      <c r="C44" s="100"/>
      <c r="D44" s="100"/>
      <c r="E44" s="100"/>
    </row>
    <row r="45" spans="1:5" ht="14.25" hidden="1">
      <c r="A45" s="100"/>
      <c r="B45" s="100"/>
      <c r="C45" s="100"/>
      <c r="E45" s="100"/>
    </row>
    <row r="46" ht="14.25" hidden="1">
      <c r="D46" s="100"/>
    </row>
    <row r="47" ht="14.25" hidden="1"/>
    <row r="48" ht="14.25">
      <c r="A48" s="174" t="s">
        <v>267</v>
      </c>
    </row>
    <row r="49" ht="14.25">
      <c r="A49" t="s">
        <v>268</v>
      </c>
    </row>
    <row r="50" ht="14.25">
      <c r="A50" t="s">
        <v>269</v>
      </c>
    </row>
    <row r="51" ht="14.25">
      <c r="A51" t="s">
        <v>270</v>
      </c>
    </row>
    <row r="52" ht="14.25">
      <c r="A52" t="s">
        <v>271</v>
      </c>
    </row>
    <row r="53" ht="14.25">
      <c r="A53" t="s">
        <v>272</v>
      </c>
    </row>
    <row r="54" ht="14.25">
      <c r="A54" s="174"/>
    </row>
  </sheetData>
  <sheetProtection/>
  <mergeCells count="2">
    <mergeCell ref="A3:C3"/>
    <mergeCell ref="A41:C41"/>
  </mergeCells>
  <printOptions/>
  <pageMargins left="0.7" right="0.7" top="0.75" bottom="0.75" header="0.3" footer="0.3"/>
  <pageSetup fitToWidth="0" fitToHeight="1" horizontalDpi="1200" verticalDpi="12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1"/>
  <sheetViews>
    <sheetView zoomScale="85" zoomScaleNormal="85" zoomScalePageLayoutView="0" workbookViewId="0" topLeftCell="A7">
      <selection activeCell="A1" sqref="A1:J38"/>
    </sheetView>
  </sheetViews>
  <sheetFormatPr defaultColWidth="9.140625" defaultRowHeight="15"/>
  <cols>
    <col min="1" max="1" width="45.00390625" style="0" customWidth="1"/>
    <col min="3" max="3" width="13.8515625" style="0" customWidth="1"/>
    <col min="4" max="4" width="15.140625" style="0" customWidth="1"/>
    <col min="5" max="5" width="14.140625" style="0" bestFit="1" customWidth="1"/>
    <col min="7" max="7" width="11.57421875" style="0" customWidth="1"/>
    <col min="8" max="8" width="18.140625" style="0" customWidth="1"/>
    <col min="9" max="9" width="19.8515625" style="0" customWidth="1"/>
    <col min="10" max="10" width="20.421875" style="0" customWidth="1"/>
    <col min="11" max="11" width="13.28125" style="0" customWidth="1"/>
    <col min="13" max="13" width="0" style="0" hidden="1" customWidth="1"/>
  </cols>
  <sheetData>
    <row r="3" spans="1:11" ht="14.25">
      <c r="A3" s="438" t="s">
        <v>177</v>
      </c>
      <c r="B3" s="438"/>
      <c r="C3" s="438"/>
      <c r="D3" s="438"/>
      <c r="E3" s="438"/>
      <c r="F3" s="438"/>
      <c r="G3" s="438"/>
      <c r="H3" s="438"/>
      <c r="I3" s="438"/>
      <c r="J3" s="438"/>
      <c r="K3" s="109"/>
    </row>
    <row r="4" spans="1:13" ht="69">
      <c r="A4" s="9" t="s">
        <v>178</v>
      </c>
      <c r="B4" s="9" t="s">
        <v>179</v>
      </c>
      <c r="C4" s="9" t="s">
        <v>180</v>
      </c>
      <c r="D4" s="9" t="s">
        <v>181</v>
      </c>
      <c r="E4" s="9" t="s">
        <v>182</v>
      </c>
      <c r="F4" s="9" t="s">
        <v>183</v>
      </c>
      <c r="G4" s="9" t="s">
        <v>184</v>
      </c>
      <c r="H4" s="9" t="s">
        <v>185</v>
      </c>
      <c r="I4" s="9" t="s">
        <v>186</v>
      </c>
      <c r="J4" s="10" t="s">
        <v>187</v>
      </c>
      <c r="K4" s="390"/>
      <c r="M4">
        <v>1.0655</v>
      </c>
    </row>
    <row r="5" spans="1:11" ht="14.25">
      <c r="A5" s="56" t="s">
        <v>188</v>
      </c>
      <c r="B5" s="17">
        <v>8</v>
      </c>
      <c r="C5" s="17">
        <v>8760</v>
      </c>
      <c r="D5" s="58">
        <f>B5*C5</f>
        <v>70080</v>
      </c>
      <c r="E5" s="2">
        <v>541707</v>
      </c>
      <c r="F5" s="17">
        <v>1</v>
      </c>
      <c r="G5" s="55">
        <v>0.05</v>
      </c>
      <c r="H5" s="2">
        <v>0</v>
      </c>
      <c r="I5" s="2">
        <v>0</v>
      </c>
      <c r="J5" s="101">
        <f>H5+I5</f>
        <v>0</v>
      </c>
      <c r="K5" s="160"/>
    </row>
    <row r="6" spans="1:11" ht="14.25">
      <c r="A6" s="56" t="s">
        <v>95</v>
      </c>
      <c r="B6" s="57">
        <v>8</v>
      </c>
      <c r="C6" s="58">
        <v>1248</v>
      </c>
      <c r="D6" s="58">
        <f>B6*C6</f>
        <v>9984</v>
      </c>
      <c r="E6" s="2">
        <v>52936.23</v>
      </c>
      <c r="F6" s="58">
        <v>1</v>
      </c>
      <c r="G6" s="55">
        <v>0.1</v>
      </c>
      <c r="H6" s="2">
        <v>0</v>
      </c>
      <c r="I6" s="2">
        <f>E6*G6/B6</f>
        <v>661.7028750000001</v>
      </c>
      <c r="J6" s="101">
        <f>H6+I6</f>
        <v>661.7028750000001</v>
      </c>
      <c r="K6" s="160"/>
    </row>
    <row r="7" spans="1:13" ht="14.25">
      <c r="A7" s="56" t="s">
        <v>142</v>
      </c>
      <c r="B7" s="57">
        <v>8</v>
      </c>
      <c r="C7" s="58">
        <v>1248</v>
      </c>
      <c r="D7" s="58">
        <f aca="true" t="shared" si="0" ref="D7:D37">B7*C7</f>
        <v>9984</v>
      </c>
      <c r="E7" s="2">
        <v>115359.42</v>
      </c>
      <c r="F7" s="58">
        <v>1</v>
      </c>
      <c r="G7" s="55">
        <v>0.1</v>
      </c>
      <c r="H7" s="2">
        <v>3335</v>
      </c>
      <c r="I7" s="2">
        <f>E7*G7/B7</f>
        <v>1441.9927500000001</v>
      </c>
      <c r="J7" s="101">
        <f aca="true" t="shared" si="1" ref="J7:J37">H7+I7</f>
        <v>4776.99275</v>
      </c>
      <c r="K7" s="160"/>
      <c r="M7" s="171">
        <f>L7*M4</f>
        <v>0</v>
      </c>
    </row>
    <row r="8" spans="1:13" ht="14.25">
      <c r="A8" s="56" t="s">
        <v>189</v>
      </c>
      <c r="B8" s="57">
        <v>8</v>
      </c>
      <c r="C8" s="61" t="s">
        <v>205</v>
      </c>
      <c r="D8" s="61" t="s">
        <v>205</v>
      </c>
      <c r="E8" s="2">
        <v>38711.21</v>
      </c>
      <c r="F8" s="58">
        <v>1</v>
      </c>
      <c r="G8" s="55">
        <v>0.1</v>
      </c>
      <c r="H8" s="2">
        <v>945</v>
      </c>
      <c r="I8" s="2">
        <v>0</v>
      </c>
      <c r="J8" s="101">
        <f t="shared" si="1"/>
        <v>945</v>
      </c>
      <c r="K8" s="160"/>
      <c r="M8" s="171">
        <f>L8*M5</f>
        <v>0</v>
      </c>
    </row>
    <row r="9" spans="1:11" ht="14.25">
      <c r="A9" s="56" t="s">
        <v>97</v>
      </c>
      <c r="B9" s="57">
        <v>8</v>
      </c>
      <c r="C9" s="58">
        <v>624</v>
      </c>
      <c r="D9" s="58">
        <f t="shared" si="0"/>
        <v>4992</v>
      </c>
      <c r="E9" s="2">
        <v>14576</v>
      </c>
      <c r="F9" s="58">
        <v>1</v>
      </c>
      <c r="G9" s="55">
        <v>0.01</v>
      </c>
      <c r="H9" s="2">
        <v>0</v>
      </c>
      <c r="I9" s="2">
        <v>0</v>
      </c>
      <c r="J9" s="101">
        <f t="shared" si="1"/>
        <v>0</v>
      </c>
      <c r="K9" s="160"/>
    </row>
    <row r="10" spans="1:11" ht="14.25">
      <c r="A10" s="56" t="s">
        <v>98</v>
      </c>
      <c r="B10" s="57">
        <v>8</v>
      </c>
      <c r="C10" s="17">
        <v>936</v>
      </c>
      <c r="D10" s="58">
        <f t="shared" si="0"/>
        <v>7488</v>
      </c>
      <c r="E10" s="2">
        <v>15202.91</v>
      </c>
      <c r="F10" s="59">
        <v>1</v>
      </c>
      <c r="G10" s="55">
        <v>0.1</v>
      </c>
      <c r="H10" s="2">
        <v>125</v>
      </c>
      <c r="I10" s="2">
        <f>E10*G10/B10</f>
        <v>190.03637500000002</v>
      </c>
      <c r="J10" s="101">
        <f t="shared" si="1"/>
        <v>315.036375</v>
      </c>
      <c r="K10" s="160"/>
    </row>
    <row r="11" spans="1:11" ht="14.25">
      <c r="A11" s="56" t="s">
        <v>99</v>
      </c>
      <c r="B11" s="57">
        <v>8</v>
      </c>
      <c r="C11" s="17">
        <v>312</v>
      </c>
      <c r="D11" s="58">
        <f t="shared" si="0"/>
        <v>2496</v>
      </c>
      <c r="E11" s="2">
        <v>294239.82</v>
      </c>
      <c r="F11" s="59">
        <v>1</v>
      </c>
      <c r="G11" s="55">
        <v>0.01</v>
      </c>
      <c r="H11" s="2">
        <v>0</v>
      </c>
      <c r="I11" s="2">
        <f>E11*G11/B11</f>
        <v>367.799775</v>
      </c>
      <c r="J11" s="101">
        <f t="shared" si="1"/>
        <v>367.799775</v>
      </c>
      <c r="K11" s="160"/>
    </row>
    <row r="12" spans="1:11" ht="14.25">
      <c r="A12" s="56" t="s">
        <v>190</v>
      </c>
      <c r="B12" s="57">
        <v>8</v>
      </c>
      <c r="C12" s="17">
        <v>2920</v>
      </c>
      <c r="D12" s="58">
        <f t="shared" si="0"/>
        <v>23360</v>
      </c>
      <c r="E12" s="2">
        <v>14931</v>
      </c>
      <c r="F12" s="59">
        <v>1</v>
      </c>
      <c r="G12" s="55">
        <v>0.2</v>
      </c>
      <c r="H12" s="2">
        <v>350</v>
      </c>
      <c r="I12" s="2">
        <f>E12*G12/B12</f>
        <v>373.27500000000003</v>
      </c>
      <c r="J12" s="101">
        <f t="shared" si="1"/>
        <v>723.2750000000001</v>
      </c>
      <c r="K12" s="160"/>
    </row>
    <row r="13" spans="1:11" ht="14.25">
      <c r="A13" s="56" t="s">
        <v>191</v>
      </c>
      <c r="B13" s="57">
        <v>8</v>
      </c>
      <c r="C13" s="17">
        <v>12000</v>
      </c>
      <c r="D13" s="58">
        <f t="shared" si="0"/>
        <v>96000</v>
      </c>
      <c r="E13" s="2">
        <v>244056.6</v>
      </c>
      <c r="F13" s="59">
        <v>2</v>
      </c>
      <c r="G13" s="55">
        <v>0.1</v>
      </c>
      <c r="H13" s="2">
        <v>2852</v>
      </c>
      <c r="I13" s="2">
        <f>E13*G13/B13</f>
        <v>3050.7075000000004</v>
      </c>
      <c r="J13" s="101">
        <f t="shared" si="1"/>
        <v>5902.7075</v>
      </c>
      <c r="K13" s="160"/>
    </row>
    <row r="14" spans="1:11" ht="14.25">
      <c r="A14" s="11" t="s">
        <v>144</v>
      </c>
      <c r="B14" s="57">
        <v>8</v>
      </c>
      <c r="C14" s="17">
        <v>15600</v>
      </c>
      <c r="D14" s="58">
        <f t="shared" si="0"/>
        <v>124800</v>
      </c>
      <c r="E14" s="2">
        <v>390287.99</v>
      </c>
      <c r="F14" s="59">
        <v>2</v>
      </c>
      <c r="G14" s="55">
        <v>0</v>
      </c>
      <c r="H14" s="2">
        <v>8844</v>
      </c>
      <c r="I14" s="2">
        <f>E14*G14/B14</f>
        <v>0</v>
      </c>
      <c r="J14" s="101">
        <f t="shared" si="1"/>
        <v>8844</v>
      </c>
      <c r="K14" s="160"/>
    </row>
    <row r="15" spans="1:11" ht="14.25">
      <c r="A15" s="11" t="s">
        <v>132</v>
      </c>
      <c r="B15" s="57">
        <v>8</v>
      </c>
      <c r="C15" s="17">
        <v>500</v>
      </c>
      <c r="D15" s="58">
        <f t="shared" si="0"/>
        <v>4000</v>
      </c>
      <c r="E15" s="2">
        <v>449285.38</v>
      </c>
      <c r="F15" s="59">
        <v>1</v>
      </c>
      <c r="G15" s="55">
        <v>0.1</v>
      </c>
      <c r="H15" s="2">
        <v>5172</v>
      </c>
      <c r="I15" s="2">
        <f>E15*G15/B15</f>
        <v>5616.06725</v>
      </c>
      <c r="J15" s="101">
        <f t="shared" si="1"/>
        <v>10788.06725</v>
      </c>
      <c r="K15" s="160"/>
    </row>
    <row r="16" spans="1:11" ht="14.25">
      <c r="A16" s="56" t="s">
        <v>192</v>
      </c>
      <c r="B16" s="57">
        <v>8</v>
      </c>
      <c r="C16" s="17">
        <v>624</v>
      </c>
      <c r="D16" s="58">
        <f t="shared" si="0"/>
        <v>4992</v>
      </c>
      <c r="E16" s="2">
        <v>116608.8</v>
      </c>
      <c r="F16" s="59">
        <v>1</v>
      </c>
      <c r="G16" s="55">
        <v>0.1</v>
      </c>
      <c r="H16" s="2">
        <v>650</v>
      </c>
      <c r="I16" s="2">
        <v>0</v>
      </c>
      <c r="J16" s="101">
        <f t="shared" si="1"/>
        <v>650</v>
      </c>
      <c r="K16" s="160"/>
    </row>
    <row r="17" spans="1:13" ht="14.25">
      <c r="A17" s="60" t="s">
        <v>100</v>
      </c>
      <c r="B17" s="57">
        <v>8</v>
      </c>
      <c r="C17" s="62">
        <v>624</v>
      </c>
      <c r="D17" s="58">
        <f t="shared" si="0"/>
        <v>4992</v>
      </c>
      <c r="E17" s="2">
        <v>14159.64</v>
      </c>
      <c r="F17" s="63">
        <v>1</v>
      </c>
      <c r="G17" s="55">
        <v>0.1</v>
      </c>
      <c r="H17" s="2">
        <v>0</v>
      </c>
      <c r="I17" s="2">
        <v>0</v>
      </c>
      <c r="J17" s="101">
        <f t="shared" si="1"/>
        <v>0</v>
      </c>
      <c r="K17" s="160"/>
      <c r="M17">
        <v>1.0655</v>
      </c>
    </row>
    <row r="18" spans="1:11" ht="14.25">
      <c r="A18" s="46" t="s">
        <v>146</v>
      </c>
      <c r="B18" s="57">
        <v>8</v>
      </c>
      <c r="C18" s="62">
        <v>936</v>
      </c>
      <c r="D18" s="58">
        <f t="shared" si="0"/>
        <v>7488</v>
      </c>
      <c r="E18" s="2">
        <v>1234387.44</v>
      </c>
      <c r="F18" s="63">
        <v>2</v>
      </c>
      <c r="G18" s="55">
        <v>0.01</v>
      </c>
      <c r="H18" s="2">
        <v>12024.42</v>
      </c>
      <c r="I18" s="2">
        <f>E18*F18*G18/B18</f>
        <v>3085.9686</v>
      </c>
      <c r="J18" s="101">
        <f t="shared" si="1"/>
        <v>15110.3886</v>
      </c>
      <c r="K18" s="160"/>
    </row>
    <row r="19" spans="1:11" ht="14.25">
      <c r="A19" s="46" t="s">
        <v>147</v>
      </c>
      <c r="B19" s="57">
        <v>8</v>
      </c>
      <c r="C19" s="62">
        <v>3120</v>
      </c>
      <c r="D19" s="58">
        <f t="shared" si="0"/>
        <v>24960</v>
      </c>
      <c r="E19" s="2">
        <v>500639.06</v>
      </c>
      <c r="F19" s="63">
        <v>2</v>
      </c>
      <c r="G19" s="55">
        <v>0.1</v>
      </c>
      <c r="H19" s="2">
        <v>30053</v>
      </c>
      <c r="I19" s="2">
        <f>E19*F19*G19/B19</f>
        <v>12515.9765</v>
      </c>
      <c r="J19" s="101">
        <f t="shared" si="1"/>
        <v>42568.976500000004</v>
      </c>
      <c r="K19" s="160"/>
    </row>
    <row r="20" spans="1:11" ht="14.25">
      <c r="A20" s="46" t="s">
        <v>193</v>
      </c>
      <c r="B20" s="57">
        <v>8</v>
      </c>
      <c r="C20" s="61" t="s">
        <v>205</v>
      </c>
      <c r="D20" s="61" t="s">
        <v>205</v>
      </c>
      <c r="E20" s="2">
        <v>283192.8</v>
      </c>
      <c r="F20" s="63">
        <v>1</v>
      </c>
      <c r="G20" s="55">
        <v>0.05</v>
      </c>
      <c r="H20" s="2">
        <v>0</v>
      </c>
      <c r="I20" s="2">
        <f>E20*G20/B20</f>
        <v>1769.955</v>
      </c>
      <c r="J20" s="101">
        <f t="shared" si="1"/>
        <v>1769.955</v>
      </c>
      <c r="K20" s="160"/>
    </row>
    <row r="21" spans="1:11" ht="14.25">
      <c r="A21" s="60" t="s">
        <v>101</v>
      </c>
      <c r="B21" s="57">
        <v>8</v>
      </c>
      <c r="C21" s="62">
        <v>365</v>
      </c>
      <c r="D21" s="58">
        <f t="shared" si="0"/>
        <v>2920</v>
      </c>
      <c r="E21" s="2">
        <v>50183.43</v>
      </c>
      <c r="F21" s="63">
        <v>1</v>
      </c>
      <c r="G21" s="55">
        <v>0.1</v>
      </c>
      <c r="H21" s="2">
        <v>0</v>
      </c>
      <c r="I21" s="2">
        <f>E21*G21/B21</f>
        <v>627.2928750000001</v>
      </c>
      <c r="J21" s="101">
        <f t="shared" si="1"/>
        <v>627.2928750000001</v>
      </c>
      <c r="K21" s="160"/>
    </row>
    <row r="22" spans="1:11" ht="14.25">
      <c r="A22" s="60" t="s">
        <v>169</v>
      </c>
      <c r="B22" s="57">
        <v>8</v>
      </c>
      <c r="C22" s="62">
        <v>365</v>
      </c>
      <c r="D22" s="58">
        <f t="shared" si="0"/>
        <v>2920</v>
      </c>
      <c r="E22" s="2">
        <v>52324.03</v>
      </c>
      <c r="F22" s="63">
        <v>1</v>
      </c>
      <c r="G22" s="55">
        <v>0.05</v>
      </c>
      <c r="H22" s="2">
        <f>E22*F22*G22/B22</f>
        <v>327.0251875</v>
      </c>
      <c r="I22" s="2">
        <v>0</v>
      </c>
      <c r="J22" s="101">
        <f t="shared" si="1"/>
        <v>327.0251875</v>
      </c>
      <c r="K22" s="160"/>
    </row>
    <row r="23" spans="1:11" ht="14.25">
      <c r="A23" s="60" t="s">
        <v>194</v>
      </c>
      <c r="B23" s="57">
        <v>8</v>
      </c>
      <c r="C23" s="62">
        <v>365</v>
      </c>
      <c r="D23" s="58">
        <f t="shared" si="0"/>
        <v>2920</v>
      </c>
      <c r="E23" s="2">
        <v>27486.36</v>
      </c>
      <c r="F23" s="63">
        <v>2</v>
      </c>
      <c r="G23" s="55">
        <v>0.05</v>
      </c>
      <c r="H23" s="2">
        <f>E23*F23*G23/B23</f>
        <v>343.57950000000005</v>
      </c>
      <c r="I23" s="2">
        <v>0</v>
      </c>
      <c r="J23" s="101">
        <f t="shared" si="1"/>
        <v>343.57950000000005</v>
      </c>
      <c r="K23" s="160"/>
    </row>
    <row r="24" spans="1:11" ht="14.25">
      <c r="A24" s="60" t="s">
        <v>195</v>
      </c>
      <c r="B24" s="57">
        <v>8</v>
      </c>
      <c r="C24" s="62">
        <v>8760</v>
      </c>
      <c r="D24" s="58">
        <f t="shared" si="0"/>
        <v>70080</v>
      </c>
      <c r="E24" s="2">
        <v>6604</v>
      </c>
      <c r="F24" s="63">
        <v>1</v>
      </c>
      <c r="G24" s="55">
        <v>0.05</v>
      </c>
      <c r="H24" s="2">
        <v>0</v>
      </c>
      <c r="I24" s="2">
        <v>0</v>
      </c>
      <c r="J24" s="101">
        <f t="shared" si="1"/>
        <v>0</v>
      </c>
      <c r="K24" s="160"/>
    </row>
    <row r="25" spans="1:11" ht="14.25">
      <c r="A25" s="60" t="s">
        <v>196</v>
      </c>
      <c r="B25" s="57">
        <v>8</v>
      </c>
      <c r="C25" s="62">
        <v>8760</v>
      </c>
      <c r="D25" s="58">
        <f t="shared" si="0"/>
        <v>70080</v>
      </c>
      <c r="E25" s="2">
        <v>14151</v>
      </c>
      <c r="F25" s="63">
        <v>1</v>
      </c>
      <c r="G25" s="55">
        <v>0.05</v>
      </c>
      <c r="H25" s="2">
        <v>0</v>
      </c>
      <c r="I25" s="2">
        <v>0</v>
      </c>
      <c r="J25" s="101">
        <f t="shared" si="1"/>
        <v>0</v>
      </c>
      <c r="K25" s="160"/>
    </row>
    <row r="26" spans="1:11" ht="14.25">
      <c r="A26" s="60" t="s">
        <v>138</v>
      </c>
      <c r="B26" s="57">
        <v>8</v>
      </c>
      <c r="C26" s="62">
        <v>520</v>
      </c>
      <c r="D26" s="58">
        <f t="shared" si="0"/>
        <v>4160</v>
      </c>
      <c r="E26" s="2">
        <v>34739</v>
      </c>
      <c r="F26" s="63">
        <v>1</v>
      </c>
      <c r="G26" s="55">
        <v>0.05</v>
      </c>
      <c r="H26" s="2">
        <v>735</v>
      </c>
      <c r="I26" s="2">
        <v>0</v>
      </c>
      <c r="J26" s="101">
        <f t="shared" si="1"/>
        <v>735</v>
      </c>
      <c r="K26" s="160"/>
    </row>
    <row r="27" spans="1:11" ht="14.25">
      <c r="A27" s="60" t="s">
        <v>197</v>
      </c>
      <c r="B27" s="57">
        <v>8</v>
      </c>
      <c r="C27" s="62">
        <v>936</v>
      </c>
      <c r="D27" s="58">
        <f t="shared" si="0"/>
        <v>7488</v>
      </c>
      <c r="E27" s="2">
        <v>8787.31</v>
      </c>
      <c r="F27" s="63">
        <v>1</v>
      </c>
      <c r="G27" s="55">
        <v>0.05</v>
      </c>
      <c r="H27" s="2">
        <v>0</v>
      </c>
      <c r="I27" s="2">
        <v>0</v>
      </c>
      <c r="J27" s="101">
        <f t="shared" si="1"/>
        <v>0</v>
      </c>
      <c r="K27" s="160"/>
    </row>
    <row r="28" spans="1:11" ht="14.25">
      <c r="A28" s="60" t="s">
        <v>198</v>
      </c>
      <c r="B28" s="57">
        <v>8</v>
      </c>
      <c r="C28" s="62">
        <v>312</v>
      </c>
      <c r="D28" s="58">
        <f t="shared" si="0"/>
        <v>2496</v>
      </c>
      <c r="E28" s="2">
        <v>28985.62</v>
      </c>
      <c r="F28" s="63">
        <v>1</v>
      </c>
      <c r="G28" s="55">
        <v>0.01</v>
      </c>
      <c r="H28" s="2">
        <v>0</v>
      </c>
      <c r="I28" s="2">
        <v>0</v>
      </c>
      <c r="J28" s="101">
        <f t="shared" si="1"/>
        <v>0</v>
      </c>
      <c r="K28" s="160"/>
    </row>
    <row r="29" spans="1:11" ht="14.25">
      <c r="A29" s="60" t="s">
        <v>199</v>
      </c>
      <c r="B29" s="57">
        <v>8</v>
      </c>
      <c r="C29" s="62">
        <v>7885</v>
      </c>
      <c r="D29" s="58">
        <f t="shared" si="0"/>
        <v>63080</v>
      </c>
      <c r="E29" s="2">
        <v>87040.14</v>
      </c>
      <c r="F29" s="63">
        <v>2</v>
      </c>
      <c r="G29" s="55">
        <v>0.005</v>
      </c>
      <c r="H29" s="2">
        <v>0</v>
      </c>
      <c r="I29" s="2">
        <v>0</v>
      </c>
      <c r="J29" s="101">
        <f t="shared" si="1"/>
        <v>0</v>
      </c>
      <c r="K29" s="160"/>
    </row>
    <row r="30" spans="1:11" ht="14.25">
      <c r="A30" s="60" t="s">
        <v>200</v>
      </c>
      <c r="B30" s="57">
        <v>8</v>
      </c>
      <c r="C30" s="62">
        <v>936</v>
      </c>
      <c r="D30" s="58">
        <f t="shared" si="0"/>
        <v>7488</v>
      </c>
      <c r="E30" s="2">
        <v>22988.59</v>
      </c>
      <c r="F30" s="63">
        <v>2</v>
      </c>
      <c r="G30" s="55">
        <v>0.01</v>
      </c>
      <c r="H30" s="2">
        <v>0</v>
      </c>
      <c r="I30" s="2">
        <v>0</v>
      </c>
      <c r="J30" s="101">
        <f t="shared" si="1"/>
        <v>0</v>
      </c>
      <c r="K30" s="160"/>
    </row>
    <row r="31" spans="1:11" s="69" customFormat="1" ht="14.25">
      <c r="A31" s="137" t="s">
        <v>106</v>
      </c>
      <c r="B31" s="113">
        <v>8</v>
      </c>
      <c r="C31" s="140">
        <v>5742</v>
      </c>
      <c r="D31" s="141">
        <f>B31*C31</f>
        <v>45936</v>
      </c>
      <c r="E31" s="101">
        <v>3600000</v>
      </c>
      <c r="F31" s="114">
        <v>1</v>
      </c>
      <c r="G31" s="110">
        <v>0.02</v>
      </c>
      <c r="H31" s="101">
        <v>48600</v>
      </c>
      <c r="I31" s="101">
        <f>E31*F31*G31/B31</f>
        <v>9000</v>
      </c>
      <c r="J31" s="129">
        <f t="shared" si="1"/>
        <v>57600</v>
      </c>
      <c r="K31" s="160"/>
    </row>
    <row r="32" spans="1:11" ht="14.25">
      <c r="A32" s="60" t="s">
        <v>107</v>
      </c>
      <c r="B32" s="57">
        <v>8</v>
      </c>
      <c r="C32" s="62">
        <v>936</v>
      </c>
      <c r="D32" s="58">
        <f t="shared" si="0"/>
        <v>7488</v>
      </c>
      <c r="E32" s="2">
        <v>15992.07</v>
      </c>
      <c r="F32" s="63">
        <v>2</v>
      </c>
      <c r="G32" s="55">
        <v>0.01</v>
      </c>
      <c r="H32" s="2">
        <v>0</v>
      </c>
      <c r="I32" s="2">
        <v>0</v>
      </c>
      <c r="J32" s="101">
        <f t="shared" si="1"/>
        <v>0</v>
      </c>
      <c r="K32" s="160"/>
    </row>
    <row r="33" spans="1:11" ht="14.25">
      <c r="A33" s="60" t="s">
        <v>201</v>
      </c>
      <c r="B33" s="57">
        <v>8</v>
      </c>
      <c r="C33" s="62">
        <v>1</v>
      </c>
      <c r="D33" s="58">
        <f t="shared" si="0"/>
        <v>8</v>
      </c>
      <c r="E33" s="2">
        <v>96410.49</v>
      </c>
      <c r="F33" s="63">
        <v>1</v>
      </c>
      <c r="G33" s="55">
        <v>0.05</v>
      </c>
      <c r="H33" s="2">
        <v>0</v>
      </c>
      <c r="I33" s="2">
        <f>E33*G33/B33</f>
        <v>602.5655625</v>
      </c>
      <c r="J33" s="101">
        <f t="shared" si="1"/>
        <v>602.5655625</v>
      </c>
      <c r="K33" s="160"/>
    </row>
    <row r="34" spans="1:11" ht="14.25">
      <c r="A34" s="60" t="s">
        <v>108</v>
      </c>
      <c r="B34" s="57">
        <v>8</v>
      </c>
      <c r="C34" s="62">
        <v>936</v>
      </c>
      <c r="D34" s="58">
        <f t="shared" si="0"/>
        <v>7488</v>
      </c>
      <c r="E34" s="2">
        <v>48809.11</v>
      </c>
      <c r="F34" s="63">
        <v>1</v>
      </c>
      <c r="G34" s="55">
        <v>0.05</v>
      </c>
      <c r="H34" s="2">
        <v>0</v>
      </c>
      <c r="I34" s="2">
        <f>E34*G34/B34</f>
        <v>305.0569375</v>
      </c>
      <c r="J34" s="101">
        <f t="shared" si="1"/>
        <v>305.0569375</v>
      </c>
      <c r="K34" s="160"/>
    </row>
    <row r="35" spans="1:11" ht="14.25">
      <c r="A35" s="60" t="s">
        <v>109</v>
      </c>
      <c r="B35" s="57">
        <v>7</v>
      </c>
      <c r="C35" s="62">
        <v>8760</v>
      </c>
      <c r="D35" s="58">
        <f t="shared" si="0"/>
        <v>61320</v>
      </c>
      <c r="E35" s="2">
        <v>777297.6</v>
      </c>
      <c r="F35" s="63">
        <v>1</v>
      </c>
      <c r="G35" s="439">
        <v>0.005</v>
      </c>
      <c r="H35" s="2">
        <f>E35*G35/B36</f>
        <v>555.2125714285714</v>
      </c>
      <c r="I35" s="441">
        <f>E35*0.01/7</f>
        <v>1110.4251428571429</v>
      </c>
      <c r="J35" s="443">
        <f t="shared" si="1"/>
        <v>1665.6377142857143</v>
      </c>
      <c r="K35" s="160"/>
    </row>
    <row r="36" spans="1:11" ht="14.25">
      <c r="A36" s="60" t="s">
        <v>202</v>
      </c>
      <c r="B36" s="57">
        <v>7</v>
      </c>
      <c r="C36" s="62">
        <v>8760</v>
      </c>
      <c r="D36" s="58">
        <f t="shared" si="0"/>
        <v>61320</v>
      </c>
      <c r="E36" s="2"/>
      <c r="F36" s="63">
        <v>1</v>
      </c>
      <c r="G36" s="440"/>
      <c r="H36" s="2"/>
      <c r="I36" s="442"/>
      <c r="J36" s="443"/>
      <c r="K36" s="160"/>
    </row>
    <row r="37" spans="1:11" ht="14.25">
      <c r="A37" s="60" t="s">
        <v>203</v>
      </c>
      <c r="B37" s="57">
        <v>7</v>
      </c>
      <c r="C37" s="62">
        <v>8760</v>
      </c>
      <c r="D37" s="58">
        <f t="shared" si="0"/>
        <v>61320</v>
      </c>
      <c r="E37" s="2">
        <v>133992.51</v>
      </c>
      <c r="F37" s="63">
        <v>1</v>
      </c>
      <c r="G37" s="55">
        <v>0.02</v>
      </c>
      <c r="H37" s="2"/>
      <c r="I37" s="2">
        <f>E37*G37/B37</f>
        <v>382.8357428571429</v>
      </c>
      <c r="J37" s="101">
        <f t="shared" si="1"/>
        <v>382.8357428571429</v>
      </c>
      <c r="K37" s="160"/>
    </row>
    <row r="38" spans="1:11" ht="14.25">
      <c r="A38" s="435" t="s">
        <v>204</v>
      </c>
      <c r="B38" s="436"/>
      <c r="C38" s="436"/>
      <c r="D38" s="436"/>
      <c r="E38" s="436"/>
      <c r="F38" s="436"/>
      <c r="G38" s="436"/>
      <c r="H38" s="436"/>
      <c r="I38" s="437"/>
      <c r="J38" s="47">
        <f>SUM(J5:J37)</f>
        <v>156012.89514464288</v>
      </c>
      <c r="K38" s="391"/>
    </row>
    <row r="39" ht="14.25">
      <c r="K39" s="109"/>
    </row>
    <row r="40" spans="1:11" ht="18">
      <c r="A40" s="177"/>
      <c r="K40" s="109"/>
    </row>
    <row r="41" ht="18">
      <c r="A41" s="177"/>
    </row>
  </sheetData>
  <sheetProtection/>
  <mergeCells count="5">
    <mergeCell ref="A38:I38"/>
    <mergeCell ref="A3:J3"/>
    <mergeCell ref="G35:G36"/>
    <mergeCell ref="I35:I36"/>
    <mergeCell ref="J35:J36"/>
  </mergeCells>
  <printOptions/>
  <pageMargins left="0.7" right="0.7" top="0.75" bottom="0.75" header="0.3" footer="0.3"/>
  <pageSetup fitToHeight="0" fitToWidth="1" horizontalDpi="1200" verticalDpi="12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9"/>
  <sheetViews>
    <sheetView zoomScalePageLayoutView="0" workbookViewId="0" topLeftCell="A1">
      <selection activeCell="A1" sqref="A1:D8"/>
    </sheetView>
  </sheetViews>
  <sheetFormatPr defaultColWidth="9.140625" defaultRowHeight="15"/>
  <cols>
    <col min="1" max="1" width="22.57421875" style="0" bestFit="1" customWidth="1"/>
    <col min="2" max="2" width="13.140625" style="0" customWidth="1"/>
    <col min="3" max="3" width="14.140625" style="0" bestFit="1" customWidth="1"/>
    <col min="4" max="4" width="14.7109375" style="0" bestFit="1" customWidth="1"/>
    <col min="5" max="5" width="15.57421875" style="0" customWidth="1"/>
  </cols>
  <sheetData>
    <row r="3" spans="1:6" ht="29.25" customHeight="1">
      <c r="A3" s="430" t="s">
        <v>232</v>
      </c>
      <c r="B3" s="430"/>
      <c r="C3" s="430"/>
      <c r="D3" s="430"/>
      <c r="E3" s="109"/>
      <c r="F3" s="109"/>
    </row>
    <row r="4" spans="1:6" ht="14.25">
      <c r="A4" s="450" t="s">
        <v>62</v>
      </c>
      <c r="B4" s="445" t="s">
        <v>207</v>
      </c>
      <c r="C4" s="447" t="s">
        <v>208</v>
      </c>
      <c r="D4" s="449" t="s">
        <v>61</v>
      </c>
      <c r="E4" s="444"/>
      <c r="F4" s="109"/>
    </row>
    <row r="5" spans="1:6" ht="14.25">
      <c r="A5" s="450"/>
      <c r="B5" s="446"/>
      <c r="C5" s="448"/>
      <c r="D5" s="449"/>
      <c r="E5" s="444"/>
      <c r="F5" s="109"/>
    </row>
    <row r="6" spans="1:6" ht="14.25">
      <c r="A6" s="4" t="s">
        <v>209</v>
      </c>
      <c r="B6" s="52" t="s">
        <v>210</v>
      </c>
      <c r="C6" s="53">
        <v>1000</v>
      </c>
      <c r="D6" s="54">
        <f>C6</f>
        <v>1000</v>
      </c>
      <c r="E6" s="160"/>
      <c r="F6" s="109"/>
    </row>
    <row r="7" spans="1:6" ht="14.25">
      <c r="A7" s="70" t="s">
        <v>211</v>
      </c>
      <c r="B7" s="142" t="s">
        <v>210</v>
      </c>
      <c r="C7" s="71">
        <v>55392.76</v>
      </c>
      <c r="D7" s="143">
        <f>C7</f>
        <v>55392.76</v>
      </c>
      <c r="E7" s="160"/>
      <c r="F7" s="109"/>
    </row>
    <row r="8" spans="1:6" ht="14.25">
      <c r="A8" s="11"/>
      <c r="B8" s="4"/>
      <c r="C8" s="49" t="s">
        <v>60</v>
      </c>
      <c r="D8" s="50">
        <f>SUM(D6:D7)</f>
        <v>56392.76</v>
      </c>
      <c r="E8" s="392"/>
      <c r="F8" s="109"/>
    </row>
    <row r="9" spans="5:6" ht="14.25">
      <c r="E9" s="109"/>
      <c r="F9" s="109"/>
    </row>
  </sheetData>
  <sheetProtection/>
  <mergeCells count="6">
    <mergeCell ref="E4:E5"/>
    <mergeCell ref="B4:B5"/>
    <mergeCell ref="C4:C5"/>
    <mergeCell ref="D4:D5"/>
    <mergeCell ref="A3:D3"/>
    <mergeCell ref="A4:A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zoomScalePageLayoutView="0" workbookViewId="0" topLeftCell="A1">
      <selection activeCell="A1" sqref="A1:D18"/>
    </sheetView>
  </sheetViews>
  <sheetFormatPr defaultColWidth="9.140625" defaultRowHeight="15"/>
  <cols>
    <col min="1" max="1" width="62.7109375" style="0" customWidth="1"/>
    <col min="2" max="2" width="10.421875" style="0" bestFit="1" customWidth="1"/>
    <col min="3" max="3" width="13.140625" style="0" bestFit="1" customWidth="1"/>
    <col min="4" max="4" width="14.7109375" style="0" bestFit="1" customWidth="1"/>
    <col min="5" max="5" width="14.57421875" style="0" bestFit="1" customWidth="1"/>
  </cols>
  <sheetData>
    <row r="3" spans="1:5" ht="14.25">
      <c r="A3" s="5" t="s">
        <v>233</v>
      </c>
      <c r="B3" s="51"/>
      <c r="C3" s="51"/>
      <c r="D3" s="51"/>
      <c r="E3" s="109"/>
    </row>
    <row r="4" spans="1:8" ht="14.25">
      <c r="A4" s="451" t="s">
        <v>62</v>
      </c>
      <c r="B4" s="445" t="s">
        <v>207</v>
      </c>
      <c r="C4" s="447" t="s">
        <v>212</v>
      </c>
      <c r="D4" s="449" t="s">
        <v>61</v>
      </c>
      <c r="E4" s="393"/>
      <c r="H4" s="173"/>
    </row>
    <row r="5" spans="1:5" ht="14.25">
      <c r="A5" s="451"/>
      <c r="B5" s="446"/>
      <c r="C5" s="448"/>
      <c r="D5" s="449"/>
      <c r="E5" s="109"/>
    </row>
    <row r="6" spans="1:5" ht="14.25">
      <c r="A6" s="4" t="s">
        <v>213</v>
      </c>
      <c r="B6" s="4">
        <v>1</v>
      </c>
      <c r="C6" s="53">
        <v>500</v>
      </c>
      <c r="D6" s="53">
        <f>B6*C6</f>
        <v>500</v>
      </c>
      <c r="E6" s="160"/>
    </row>
    <row r="7" spans="1:5" ht="14.25">
      <c r="A7" s="4" t="s">
        <v>214</v>
      </c>
      <c r="B7" s="4">
        <v>1</v>
      </c>
      <c r="C7" s="53">
        <v>500</v>
      </c>
      <c r="D7" s="53">
        <f aca="true" t="shared" si="0" ref="D7:D14">B7*C7</f>
        <v>500</v>
      </c>
      <c r="E7" s="160"/>
    </row>
    <row r="8" spans="1:5" ht="14.25">
      <c r="A8" s="4" t="s">
        <v>215</v>
      </c>
      <c r="B8" s="4">
        <v>1</v>
      </c>
      <c r="C8" s="53">
        <v>600</v>
      </c>
      <c r="D8" s="53">
        <f t="shared" si="0"/>
        <v>600</v>
      </c>
      <c r="E8" s="160"/>
    </row>
    <row r="9" spans="1:5" ht="14.25">
      <c r="A9" s="4" t="s">
        <v>216</v>
      </c>
      <c r="B9" s="4">
        <v>1</v>
      </c>
      <c r="C9" s="53">
        <v>600</v>
      </c>
      <c r="D9" s="53">
        <f t="shared" si="0"/>
        <v>600</v>
      </c>
      <c r="E9" s="160"/>
    </row>
    <row r="10" spans="1:7" ht="14.25">
      <c r="A10" s="4" t="s">
        <v>217</v>
      </c>
      <c r="B10" s="4">
        <v>1</v>
      </c>
      <c r="C10" s="53">
        <v>1500</v>
      </c>
      <c r="D10" s="53">
        <f t="shared" si="0"/>
        <v>1500</v>
      </c>
      <c r="E10" s="160"/>
      <c r="G10" t="s">
        <v>254</v>
      </c>
    </row>
    <row r="11" spans="1:5" ht="14.25">
      <c r="A11" s="4" t="s">
        <v>218</v>
      </c>
      <c r="B11" s="4">
        <v>1</v>
      </c>
      <c r="C11" s="53">
        <v>300</v>
      </c>
      <c r="D11" s="53">
        <f t="shared" si="0"/>
        <v>300</v>
      </c>
      <c r="E11" s="160"/>
    </row>
    <row r="12" spans="1:5" ht="14.25">
      <c r="A12" s="4" t="s">
        <v>219</v>
      </c>
      <c r="B12" s="4">
        <v>1</v>
      </c>
      <c r="C12" s="53">
        <v>250</v>
      </c>
      <c r="D12" s="53">
        <f t="shared" si="0"/>
        <v>250</v>
      </c>
      <c r="E12" s="160"/>
    </row>
    <row r="13" spans="1:5" s="69" customFormat="1" ht="14.25">
      <c r="A13" s="70"/>
      <c r="B13" s="70"/>
      <c r="C13" s="71"/>
      <c r="D13" s="71"/>
      <c r="E13" s="160"/>
    </row>
    <row r="14" spans="1:5" ht="14.25">
      <c r="A14" s="4" t="s">
        <v>220</v>
      </c>
      <c r="B14" s="4">
        <v>1</v>
      </c>
      <c r="C14" s="53">
        <v>165000</v>
      </c>
      <c r="D14" s="53">
        <f t="shared" si="0"/>
        <v>165000</v>
      </c>
      <c r="E14" s="160"/>
    </row>
    <row r="15" spans="1:5" s="69" customFormat="1" ht="14.25">
      <c r="A15" s="248" t="s">
        <v>253</v>
      </c>
      <c r="B15" s="248">
        <v>1</v>
      </c>
      <c r="C15" s="251">
        <f>1500*4.65*12</f>
        <v>83700.00000000001</v>
      </c>
      <c r="D15" s="71">
        <v>0</v>
      </c>
      <c r="E15" s="394"/>
    </row>
    <row r="16" spans="1:5" s="69" customFormat="1" ht="14.25">
      <c r="A16" s="249" t="s">
        <v>273</v>
      </c>
      <c r="B16" s="249"/>
      <c r="C16" s="250"/>
      <c r="D16" s="71"/>
      <c r="E16" s="167"/>
    </row>
    <row r="17" spans="1:5" s="69" customFormat="1" ht="14.25">
      <c r="A17" s="70"/>
      <c r="B17" s="70"/>
      <c r="C17" s="71"/>
      <c r="D17" s="71"/>
      <c r="E17" s="167"/>
    </row>
    <row r="18" spans="1:5" ht="14.25">
      <c r="A18" s="11"/>
      <c r="B18" s="4"/>
      <c r="C18" s="49" t="s">
        <v>60</v>
      </c>
      <c r="D18" s="170">
        <f>D15+D14+D12+D11+D10+D9+D8+D7+D6</f>
        <v>169250</v>
      </c>
      <c r="E18" s="391"/>
    </row>
    <row r="19" spans="3:5" ht="14.25">
      <c r="C19" s="69"/>
      <c r="D19" s="69"/>
      <c r="E19" s="167"/>
    </row>
  </sheetData>
  <sheetProtection/>
  <mergeCells count="4">
    <mergeCell ref="B4:B5"/>
    <mergeCell ref="C4:C5"/>
    <mergeCell ref="D4:D5"/>
    <mergeCell ref="A4:A5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zoomScale="70" zoomScaleNormal="70" zoomScalePageLayoutView="0" workbookViewId="0" topLeftCell="A1">
      <selection activeCell="A1" sqref="A1:I43"/>
    </sheetView>
  </sheetViews>
  <sheetFormatPr defaultColWidth="9.140625" defaultRowHeight="15"/>
  <cols>
    <col min="1" max="1" width="75.00390625" style="0" customWidth="1"/>
    <col min="2" max="2" width="10.28125" style="0" customWidth="1"/>
    <col min="3" max="3" width="0.13671875" style="150" customWidth="1"/>
    <col min="4" max="4" width="18.140625" style="150" customWidth="1"/>
    <col min="5" max="6" width="15.8515625" style="150" customWidth="1"/>
    <col min="7" max="7" width="19.28125" style="150" customWidth="1"/>
    <col min="8" max="8" width="15.57421875" style="150" customWidth="1"/>
    <col min="9" max="9" width="22.28125" style="150" customWidth="1"/>
    <col min="10" max="10" width="17.140625" style="151" customWidth="1"/>
    <col min="11" max="11" width="15.8515625" style="150" customWidth="1"/>
    <col min="12" max="12" width="10.140625" style="0" bestFit="1" customWidth="1"/>
    <col min="13" max="13" width="13.7109375" style="0" customWidth="1"/>
    <col min="14" max="14" width="12.8515625" style="0" customWidth="1"/>
    <col min="15" max="19" width="10.140625" style="0" bestFit="1" customWidth="1"/>
    <col min="20" max="20" width="14.00390625" style="0" customWidth="1"/>
    <col min="21" max="26" width="10.140625" style="0" bestFit="1" customWidth="1"/>
    <col min="27" max="27" width="13.140625" style="0" bestFit="1" customWidth="1"/>
  </cols>
  <sheetData>
    <row r="2" spans="1:11" ht="21">
      <c r="A2" s="184" t="s">
        <v>56</v>
      </c>
      <c r="B2" s="185"/>
      <c r="C2" s="184"/>
      <c r="D2" s="184"/>
      <c r="E2" s="184"/>
      <c r="F2" s="184"/>
      <c r="G2" s="184"/>
      <c r="H2" s="184"/>
      <c r="I2" s="184"/>
      <c r="J2" s="186"/>
      <c r="K2" s="144"/>
    </row>
    <row r="3" spans="1:11" ht="21">
      <c r="A3" s="184" t="s">
        <v>57</v>
      </c>
      <c r="B3" s="185"/>
      <c r="C3" s="184"/>
      <c r="D3" s="184"/>
      <c r="E3" s="184"/>
      <c r="F3" s="184"/>
      <c r="G3" s="184"/>
      <c r="H3" s="184"/>
      <c r="I3" s="184"/>
      <c r="J3" s="186"/>
      <c r="K3" s="144"/>
    </row>
    <row r="4" spans="1:13" ht="21">
      <c r="A4" s="457" t="s">
        <v>65</v>
      </c>
      <c r="B4" s="457" t="s">
        <v>58</v>
      </c>
      <c r="C4" s="187"/>
      <c r="D4" s="453" t="s">
        <v>266</v>
      </c>
      <c r="E4" s="453" t="s">
        <v>265</v>
      </c>
      <c r="F4" s="234" t="s">
        <v>259</v>
      </c>
      <c r="G4" s="452" t="s">
        <v>261</v>
      </c>
      <c r="H4" s="452" t="s">
        <v>264</v>
      </c>
      <c r="I4" s="235" t="s">
        <v>262</v>
      </c>
      <c r="J4" s="186"/>
      <c r="K4" s="144"/>
      <c r="M4" s="145">
        <f>L4*12</f>
        <v>0</v>
      </c>
    </row>
    <row r="5" spans="1:13" ht="21">
      <c r="A5" s="457"/>
      <c r="B5" s="457"/>
      <c r="C5" s="188"/>
      <c r="D5" s="454"/>
      <c r="E5" s="454"/>
      <c r="F5" s="188" t="s">
        <v>260</v>
      </c>
      <c r="G5" s="452"/>
      <c r="H5" s="452"/>
      <c r="I5" s="236" t="s">
        <v>263</v>
      </c>
      <c r="J5" s="186"/>
      <c r="K5" s="144"/>
      <c r="M5" s="145">
        <f>L5*12</f>
        <v>0</v>
      </c>
    </row>
    <row r="6" spans="1:13" ht="21">
      <c r="A6" s="189" t="s">
        <v>66</v>
      </c>
      <c r="B6" s="190">
        <v>1</v>
      </c>
      <c r="C6" s="191"/>
      <c r="D6" s="191">
        <v>5700</v>
      </c>
      <c r="E6" s="191">
        <v>3997</v>
      </c>
      <c r="F6" s="191">
        <f>B6*D6*12</f>
        <v>68400</v>
      </c>
      <c r="G6" s="192">
        <v>7280</v>
      </c>
      <c r="H6" s="192">
        <f>E6*1.0655</f>
        <v>4258.8035</v>
      </c>
      <c r="I6" s="192">
        <f aca="true" t="shared" si="0" ref="I6:I26">G6*B6*12</f>
        <v>87360</v>
      </c>
      <c r="J6" s="193"/>
      <c r="K6" s="147"/>
      <c r="L6" s="153"/>
      <c r="M6" s="147"/>
    </row>
    <row r="7" spans="1:13" ht="21">
      <c r="A7" s="189" t="s">
        <v>67</v>
      </c>
      <c r="B7" s="190">
        <v>2</v>
      </c>
      <c r="C7" s="191"/>
      <c r="D7" s="191">
        <v>3100</v>
      </c>
      <c r="E7" s="191">
        <v>2173</v>
      </c>
      <c r="F7" s="191">
        <f aca="true" t="shared" si="1" ref="F7:F26">B7*D7*12</f>
        <v>74400</v>
      </c>
      <c r="G7" s="192">
        <v>3957</v>
      </c>
      <c r="H7" s="192">
        <f>E7*1.0655</f>
        <v>2315.3315</v>
      </c>
      <c r="I7" s="192">
        <f t="shared" si="0"/>
        <v>94968</v>
      </c>
      <c r="J7" s="194"/>
      <c r="K7" s="147"/>
      <c r="L7" s="154"/>
      <c r="M7" s="147"/>
    </row>
    <row r="8" spans="1:13" ht="21">
      <c r="A8" s="189" t="s">
        <v>68</v>
      </c>
      <c r="B8" s="190">
        <v>1</v>
      </c>
      <c r="C8" s="191"/>
      <c r="D8" s="191">
        <v>2800</v>
      </c>
      <c r="E8" s="191">
        <v>1970</v>
      </c>
      <c r="F8" s="191">
        <f t="shared" si="1"/>
        <v>33600</v>
      </c>
      <c r="G8" s="192">
        <v>3587</v>
      </c>
      <c r="H8" s="192">
        <f aca="true" t="shared" si="2" ref="H8:H25">E8*1.0655</f>
        <v>2099.035</v>
      </c>
      <c r="I8" s="192">
        <f t="shared" si="0"/>
        <v>43044</v>
      </c>
      <c r="J8" s="194"/>
      <c r="K8" s="147"/>
      <c r="L8" s="154"/>
      <c r="M8" s="147"/>
    </row>
    <row r="9" spans="1:13" ht="21">
      <c r="A9" s="189" t="s">
        <v>69</v>
      </c>
      <c r="B9" s="190">
        <v>1</v>
      </c>
      <c r="C9" s="191"/>
      <c r="D9" s="191">
        <v>2400</v>
      </c>
      <c r="E9" s="191">
        <v>1703</v>
      </c>
      <c r="F9" s="191">
        <f t="shared" si="1"/>
        <v>28800</v>
      </c>
      <c r="G9" s="192">
        <v>3073</v>
      </c>
      <c r="H9" s="192">
        <f t="shared" si="2"/>
        <v>1814.5465</v>
      </c>
      <c r="I9" s="192">
        <f t="shared" si="0"/>
        <v>36876</v>
      </c>
      <c r="J9" s="194"/>
      <c r="K9" s="147"/>
      <c r="L9" s="154"/>
      <c r="M9" s="147"/>
    </row>
    <row r="10" spans="1:13" ht="42">
      <c r="A10" s="195" t="s">
        <v>73</v>
      </c>
      <c r="B10" s="196">
        <v>3</v>
      </c>
      <c r="C10" s="191"/>
      <c r="D10" s="191">
        <v>2067</v>
      </c>
      <c r="E10" s="191">
        <v>1480</v>
      </c>
      <c r="F10" s="191">
        <f t="shared" si="1"/>
        <v>74412</v>
      </c>
      <c r="G10" s="192">
        <v>2644</v>
      </c>
      <c r="H10" s="192">
        <f t="shared" si="2"/>
        <v>1576.9399999999998</v>
      </c>
      <c r="I10" s="192">
        <f t="shared" si="0"/>
        <v>95184</v>
      </c>
      <c r="J10" s="194"/>
      <c r="K10" s="147"/>
      <c r="L10" s="154"/>
      <c r="M10" s="147"/>
    </row>
    <row r="11" spans="1:13" ht="42">
      <c r="A11" s="195" t="s">
        <v>70</v>
      </c>
      <c r="B11" s="196">
        <v>2</v>
      </c>
      <c r="C11" s="191"/>
      <c r="D11" s="191">
        <v>1650</v>
      </c>
      <c r="E11" s="191">
        <v>1201</v>
      </c>
      <c r="F11" s="191">
        <f t="shared" si="1"/>
        <v>39600</v>
      </c>
      <c r="G11" s="192">
        <v>2111</v>
      </c>
      <c r="H11" s="192">
        <f t="shared" si="2"/>
        <v>1279.6654999999998</v>
      </c>
      <c r="I11" s="192">
        <f t="shared" si="0"/>
        <v>50664</v>
      </c>
      <c r="J11" s="194"/>
      <c r="K11" s="147"/>
      <c r="L11" s="154"/>
      <c r="M11" s="147"/>
    </row>
    <row r="12" spans="1:13" ht="21">
      <c r="A12" s="189" t="s">
        <v>71</v>
      </c>
      <c r="B12" s="190">
        <v>1</v>
      </c>
      <c r="C12" s="191"/>
      <c r="D12" s="191">
        <v>1650</v>
      </c>
      <c r="E12" s="191">
        <v>1201</v>
      </c>
      <c r="F12" s="191">
        <f t="shared" si="1"/>
        <v>19800</v>
      </c>
      <c r="G12" s="192">
        <v>2111</v>
      </c>
      <c r="H12" s="192">
        <f t="shared" si="2"/>
        <v>1279.6654999999998</v>
      </c>
      <c r="I12" s="192">
        <f t="shared" si="0"/>
        <v>25332</v>
      </c>
      <c r="J12" s="194"/>
      <c r="K12" s="147"/>
      <c r="L12" s="154"/>
      <c r="M12" s="147"/>
    </row>
    <row r="13" spans="1:13" ht="21">
      <c r="A13" s="195" t="s">
        <v>72</v>
      </c>
      <c r="B13" s="196">
        <v>1</v>
      </c>
      <c r="C13" s="191"/>
      <c r="D13" s="191">
        <v>1950</v>
      </c>
      <c r="E13" s="191">
        <v>1401</v>
      </c>
      <c r="F13" s="191">
        <f t="shared" si="1"/>
        <v>23400</v>
      </c>
      <c r="G13" s="192">
        <v>2493</v>
      </c>
      <c r="H13" s="192">
        <f t="shared" si="2"/>
        <v>1492.7654999999997</v>
      </c>
      <c r="I13" s="192">
        <f t="shared" si="0"/>
        <v>29916</v>
      </c>
      <c r="J13" s="194"/>
      <c r="K13" s="147"/>
      <c r="L13" s="154"/>
      <c r="M13" s="147"/>
    </row>
    <row r="14" spans="1:13" ht="21">
      <c r="A14" s="195" t="s">
        <v>59</v>
      </c>
      <c r="B14" s="196">
        <v>1</v>
      </c>
      <c r="C14" s="191"/>
      <c r="D14" s="191">
        <v>1650</v>
      </c>
      <c r="E14" s="191">
        <v>1201</v>
      </c>
      <c r="F14" s="191">
        <f t="shared" si="1"/>
        <v>19800</v>
      </c>
      <c r="G14" s="192">
        <v>2111</v>
      </c>
      <c r="H14" s="192">
        <f t="shared" si="2"/>
        <v>1279.6654999999998</v>
      </c>
      <c r="I14" s="192">
        <f t="shared" si="0"/>
        <v>25332</v>
      </c>
      <c r="J14" s="194"/>
      <c r="K14" s="147"/>
      <c r="L14" s="154"/>
      <c r="M14" s="147"/>
    </row>
    <row r="15" spans="1:13" ht="42">
      <c r="A15" s="195" t="s">
        <v>84</v>
      </c>
      <c r="B15" s="196">
        <v>1</v>
      </c>
      <c r="C15" s="191"/>
      <c r="D15" s="191">
        <v>3100</v>
      </c>
      <c r="E15" s="191">
        <v>2173</v>
      </c>
      <c r="F15" s="191">
        <f t="shared" si="1"/>
        <v>37200</v>
      </c>
      <c r="G15" s="192">
        <v>3957</v>
      </c>
      <c r="H15" s="192">
        <f t="shared" si="2"/>
        <v>2315.3315</v>
      </c>
      <c r="I15" s="192">
        <f t="shared" si="0"/>
        <v>47484</v>
      </c>
      <c r="J15" s="194"/>
      <c r="K15" s="155"/>
      <c r="L15" s="154"/>
      <c r="M15" s="155"/>
    </row>
    <row r="16" spans="1:13" ht="42">
      <c r="A16" s="195" t="s">
        <v>74</v>
      </c>
      <c r="B16" s="196">
        <v>5</v>
      </c>
      <c r="C16" s="191"/>
      <c r="D16" s="191">
        <v>1250</v>
      </c>
      <c r="E16" s="191">
        <v>925</v>
      </c>
      <c r="F16" s="191">
        <f t="shared" si="1"/>
        <v>75000</v>
      </c>
      <c r="G16" s="192">
        <v>1900</v>
      </c>
      <c r="H16" s="192">
        <v>1162</v>
      </c>
      <c r="I16" s="192">
        <f t="shared" si="0"/>
        <v>114000</v>
      </c>
      <c r="J16" s="194"/>
      <c r="K16" s="147"/>
      <c r="L16" s="154"/>
      <c r="M16" s="147"/>
    </row>
    <row r="17" spans="1:13" ht="21">
      <c r="A17" s="195" t="s">
        <v>75</v>
      </c>
      <c r="B17" s="196">
        <v>1</v>
      </c>
      <c r="C17" s="191"/>
      <c r="D17" s="191">
        <v>1500</v>
      </c>
      <c r="E17" s="191">
        <v>1099</v>
      </c>
      <c r="F17" s="191">
        <f t="shared" si="1"/>
        <v>18000</v>
      </c>
      <c r="G17" s="192">
        <v>1913</v>
      </c>
      <c r="H17" s="192">
        <f t="shared" si="2"/>
        <v>1170.9844999999998</v>
      </c>
      <c r="I17" s="192">
        <f t="shared" si="0"/>
        <v>22956</v>
      </c>
      <c r="J17" s="194"/>
      <c r="K17" s="147"/>
      <c r="L17" s="154"/>
      <c r="M17" s="147"/>
    </row>
    <row r="18" spans="1:13" ht="21">
      <c r="A18" s="197" t="s">
        <v>258</v>
      </c>
      <c r="B18" s="196">
        <v>1</v>
      </c>
      <c r="C18" s="191"/>
      <c r="D18" s="191">
        <v>1250</v>
      </c>
      <c r="E18" s="191">
        <v>925</v>
      </c>
      <c r="F18" s="191">
        <f t="shared" si="1"/>
        <v>15000</v>
      </c>
      <c r="G18" s="192">
        <v>1900</v>
      </c>
      <c r="H18" s="192">
        <v>1162</v>
      </c>
      <c r="I18" s="192">
        <f t="shared" si="0"/>
        <v>22800</v>
      </c>
      <c r="J18" s="194"/>
      <c r="K18" s="147"/>
      <c r="L18" s="154"/>
      <c r="M18" s="147"/>
    </row>
    <row r="19" spans="1:13" ht="21">
      <c r="A19" s="195" t="s">
        <v>76</v>
      </c>
      <c r="B19" s="196">
        <v>2</v>
      </c>
      <c r="C19" s="191"/>
      <c r="D19" s="191">
        <v>1800</v>
      </c>
      <c r="E19" s="191">
        <v>1301</v>
      </c>
      <c r="F19" s="191">
        <f t="shared" si="1"/>
        <v>43200</v>
      </c>
      <c r="G19" s="192">
        <v>2300</v>
      </c>
      <c r="H19" s="192">
        <f t="shared" si="2"/>
        <v>1386.2154999999998</v>
      </c>
      <c r="I19" s="192">
        <f t="shared" si="0"/>
        <v>55200</v>
      </c>
      <c r="J19" s="194"/>
      <c r="K19" s="147"/>
      <c r="L19" s="154"/>
      <c r="M19" s="147"/>
    </row>
    <row r="20" spans="1:13" ht="21">
      <c r="A20" s="195" t="s">
        <v>77</v>
      </c>
      <c r="B20" s="196">
        <v>1</v>
      </c>
      <c r="C20" s="191"/>
      <c r="D20" s="191">
        <v>2100</v>
      </c>
      <c r="E20" s="191">
        <v>1500</v>
      </c>
      <c r="F20" s="191">
        <f t="shared" si="1"/>
        <v>25200</v>
      </c>
      <c r="G20" s="192">
        <v>2683</v>
      </c>
      <c r="H20" s="192">
        <f t="shared" si="2"/>
        <v>1598.2499999999998</v>
      </c>
      <c r="I20" s="192">
        <f t="shared" si="0"/>
        <v>32196</v>
      </c>
      <c r="J20" s="194"/>
      <c r="K20" s="147"/>
      <c r="L20" s="154"/>
      <c r="M20" s="147"/>
    </row>
    <row r="21" spans="1:13" ht="21">
      <c r="A21" s="195" t="s">
        <v>78</v>
      </c>
      <c r="B21" s="196">
        <v>2</v>
      </c>
      <c r="C21" s="191"/>
      <c r="D21" s="191">
        <v>3100</v>
      </c>
      <c r="E21" s="191">
        <v>2173</v>
      </c>
      <c r="F21" s="191">
        <f t="shared" si="1"/>
        <v>74400</v>
      </c>
      <c r="G21" s="192">
        <v>3957</v>
      </c>
      <c r="H21" s="192">
        <f t="shared" si="2"/>
        <v>2315.3315</v>
      </c>
      <c r="I21" s="192">
        <f t="shared" si="0"/>
        <v>94968</v>
      </c>
      <c r="J21" s="194"/>
      <c r="K21" s="153"/>
      <c r="L21" s="154"/>
      <c r="M21" s="153"/>
    </row>
    <row r="22" spans="1:13" ht="21">
      <c r="A22" s="198" t="s">
        <v>236</v>
      </c>
      <c r="B22" s="196">
        <v>1</v>
      </c>
      <c r="C22" s="191"/>
      <c r="D22" s="191">
        <v>2100</v>
      </c>
      <c r="E22" s="191">
        <v>1500</v>
      </c>
      <c r="F22" s="191">
        <f t="shared" si="1"/>
        <v>25200</v>
      </c>
      <c r="G22" s="192">
        <v>2683</v>
      </c>
      <c r="H22" s="192">
        <f t="shared" si="2"/>
        <v>1598.2499999999998</v>
      </c>
      <c r="I22" s="192">
        <f t="shared" si="0"/>
        <v>32196</v>
      </c>
      <c r="J22" s="194"/>
      <c r="K22" s="147"/>
      <c r="L22" s="154"/>
      <c r="M22" s="147"/>
    </row>
    <row r="23" spans="1:13" ht="21">
      <c r="A23" s="198" t="s">
        <v>81</v>
      </c>
      <c r="B23" s="196">
        <v>2</v>
      </c>
      <c r="C23" s="191"/>
      <c r="D23" s="191">
        <v>2100</v>
      </c>
      <c r="E23" s="191">
        <v>1500</v>
      </c>
      <c r="F23" s="191">
        <f t="shared" si="1"/>
        <v>50400</v>
      </c>
      <c r="G23" s="192">
        <v>2683</v>
      </c>
      <c r="H23" s="192">
        <f t="shared" si="2"/>
        <v>1598.2499999999998</v>
      </c>
      <c r="I23" s="192">
        <f t="shared" si="0"/>
        <v>64392</v>
      </c>
      <c r="J23" s="194"/>
      <c r="K23" s="147"/>
      <c r="L23" s="154"/>
      <c r="M23" s="147"/>
    </row>
    <row r="24" spans="1:13" ht="42">
      <c r="A24" s="198" t="s">
        <v>79</v>
      </c>
      <c r="B24" s="196">
        <v>1</v>
      </c>
      <c r="C24" s="191"/>
      <c r="D24" s="191">
        <v>1950</v>
      </c>
      <c r="E24" s="191">
        <v>1401</v>
      </c>
      <c r="F24" s="191">
        <f t="shared" si="1"/>
        <v>23400</v>
      </c>
      <c r="G24" s="192">
        <v>2493</v>
      </c>
      <c r="H24" s="192">
        <f t="shared" si="2"/>
        <v>1492.7654999999997</v>
      </c>
      <c r="I24" s="192">
        <f t="shared" si="0"/>
        <v>29916</v>
      </c>
      <c r="J24" s="194"/>
      <c r="K24" s="147"/>
      <c r="L24" s="154"/>
      <c r="M24" s="147"/>
    </row>
    <row r="25" spans="1:13" ht="42">
      <c r="A25" s="198" t="s">
        <v>80</v>
      </c>
      <c r="B25" s="196">
        <v>1</v>
      </c>
      <c r="C25" s="191"/>
      <c r="D25" s="191">
        <v>2800</v>
      </c>
      <c r="E25" s="191">
        <v>1970</v>
      </c>
      <c r="F25" s="191">
        <f t="shared" si="1"/>
        <v>33600</v>
      </c>
      <c r="G25" s="192">
        <v>3587</v>
      </c>
      <c r="H25" s="192">
        <f t="shared" si="2"/>
        <v>2099.035</v>
      </c>
      <c r="I25" s="192">
        <f t="shared" si="0"/>
        <v>43044</v>
      </c>
      <c r="J25" s="194"/>
      <c r="K25" s="156"/>
      <c r="L25" s="154"/>
      <c r="M25" s="156"/>
    </row>
    <row r="26" spans="1:13" s="100" customFormat="1" ht="21">
      <c r="A26" s="198" t="s">
        <v>251</v>
      </c>
      <c r="B26" s="196">
        <v>1</v>
      </c>
      <c r="C26" s="191"/>
      <c r="D26" s="191">
        <v>2100</v>
      </c>
      <c r="E26" s="191">
        <v>1500</v>
      </c>
      <c r="F26" s="191">
        <f t="shared" si="1"/>
        <v>25200</v>
      </c>
      <c r="G26" s="192"/>
      <c r="H26" s="192"/>
      <c r="I26" s="192">
        <f t="shared" si="0"/>
        <v>0</v>
      </c>
      <c r="J26" s="194"/>
      <c r="K26" s="156"/>
      <c r="L26" s="154"/>
      <c r="M26" s="156"/>
    </row>
    <row r="27" spans="1:13" ht="21">
      <c r="A27" s="199"/>
      <c r="B27" s="190">
        <f>SUM(B6:B26)</f>
        <v>32</v>
      </c>
      <c r="C27" s="200"/>
      <c r="D27" s="200"/>
      <c r="E27" s="200"/>
      <c r="F27" s="200">
        <f>SUM(F6:F26)</f>
        <v>828012</v>
      </c>
      <c r="G27" s="201"/>
      <c r="H27" s="201"/>
      <c r="I27" s="237">
        <f>SUM(I6:I26)</f>
        <v>1047828</v>
      </c>
      <c r="J27" s="186"/>
      <c r="K27" s="144"/>
      <c r="L27" s="109"/>
      <c r="M27" s="109"/>
    </row>
    <row r="28" spans="1:13" ht="21">
      <c r="A28" s="202"/>
      <c r="B28" s="202"/>
      <c r="C28" s="184"/>
      <c r="D28" s="184"/>
      <c r="E28" s="184"/>
      <c r="F28" s="184"/>
      <c r="G28" s="203"/>
      <c r="H28" s="203"/>
      <c r="I28" s="220"/>
      <c r="J28" s="205"/>
      <c r="K28" s="149"/>
      <c r="L28" s="109"/>
      <c r="M28" s="109"/>
    </row>
    <row r="29" spans="1:13" ht="21">
      <c r="A29" s="206" t="s">
        <v>237</v>
      </c>
      <c r="B29" s="207"/>
      <c r="C29" s="208"/>
      <c r="D29" s="208"/>
      <c r="E29" s="208"/>
      <c r="F29" s="208"/>
      <c r="G29" s="209"/>
      <c r="H29" s="209"/>
      <c r="I29" s="224">
        <f>I27*0.0225</f>
        <v>23576.129999999997</v>
      </c>
      <c r="J29" s="205"/>
      <c r="K29" s="204"/>
      <c r="L29" s="231"/>
      <c r="M29" s="109"/>
    </row>
    <row r="30" spans="1:13" ht="21">
      <c r="A30" s="210" t="s">
        <v>234</v>
      </c>
      <c r="B30" s="211"/>
      <c r="C30" s="212"/>
      <c r="D30" s="212"/>
      <c r="E30" s="212"/>
      <c r="F30" s="212"/>
      <c r="G30" s="213"/>
      <c r="H30" s="213"/>
      <c r="I30" s="224">
        <f>I27+I29</f>
        <v>1071404.13</v>
      </c>
      <c r="J30" s="205"/>
      <c r="K30" s="148"/>
      <c r="L30" s="231"/>
      <c r="M30" s="109"/>
    </row>
    <row r="31" spans="1:13" ht="21">
      <c r="A31" s="458"/>
      <c r="B31" s="458"/>
      <c r="C31" s="459"/>
      <c r="D31" s="233"/>
      <c r="E31" s="239"/>
      <c r="F31" s="233"/>
      <c r="G31" s="213"/>
      <c r="H31" s="213"/>
      <c r="I31" s="220"/>
      <c r="J31" s="205"/>
      <c r="K31" s="157"/>
      <c r="L31" s="240"/>
      <c r="M31" s="109"/>
    </row>
    <row r="32" spans="1:13" ht="21">
      <c r="A32" s="214" t="s">
        <v>235</v>
      </c>
      <c r="B32" s="215"/>
      <c r="C32" s="216"/>
      <c r="D32" s="216"/>
      <c r="E32" s="216"/>
      <c r="F32" s="216"/>
      <c r="G32" s="217"/>
      <c r="H32" s="217"/>
      <c r="I32" s="220"/>
      <c r="J32" s="205"/>
      <c r="K32" s="148"/>
      <c r="L32" s="109"/>
      <c r="M32" s="109"/>
    </row>
    <row r="33" spans="1:13" ht="21">
      <c r="A33" s="218" t="s">
        <v>62</v>
      </c>
      <c r="B33" s="207" t="s">
        <v>63</v>
      </c>
      <c r="C33" s="208" t="s">
        <v>64</v>
      </c>
      <c r="D33" s="208"/>
      <c r="E33" s="208"/>
      <c r="F33" s="208"/>
      <c r="G33" s="219"/>
      <c r="H33" s="219"/>
      <c r="I33" s="220"/>
      <c r="J33" s="205"/>
      <c r="K33" s="148"/>
      <c r="L33" s="109"/>
      <c r="M33" s="109"/>
    </row>
    <row r="34" spans="1:13" ht="21">
      <c r="A34" s="221" t="s">
        <v>224</v>
      </c>
      <c r="B34" s="222">
        <v>2</v>
      </c>
      <c r="C34" s="212">
        <v>1000</v>
      </c>
      <c r="D34" s="212">
        <v>1000</v>
      </c>
      <c r="E34" s="212"/>
      <c r="F34" s="212">
        <v>1000</v>
      </c>
      <c r="G34" s="223">
        <f>F34*B34</f>
        <v>2000</v>
      </c>
      <c r="H34" s="223"/>
      <c r="I34" s="224"/>
      <c r="J34" s="205"/>
      <c r="K34" s="148"/>
      <c r="L34" s="109"/>
      <c r="M34" s="109"/>
    </row>
    <row r="35" spans="1:13" ht="21">
      <c r="A35" s="221" t="s">
        <v>222</v>
      </c>
      <c r="B35" s="225" t="s">
        <v>226</v>
      </c>
      <c r="C35" s="212">
        <v>2630</v>
      </c>
      <c r="D35" s="212">
        <v>2630</v>
      </c>
      <c r="E35" s="212"/>
      <c r="F35" s="212">
        <v>2630</v>
      </c>
      <c r="G35" s="223">
        <v>2630</v>
      </c>
      <c r="H35" s="223"/>
      <c r="I35" s="224"/>
      <c r="J35" s="205"/>
      <c r="K35" s="148"/>
      <c r="L35" s="109"/>
      <c r="M35" s="109"/>
    </row>
    <row r="36" spans="1:13" ht="21">
      <c r="A36" s="221" t="s">
        <v>223</v>
      </c>
      <c r="B36" s="225" t="s">
        <v>226</v>
      </c>
      <c r="C36" s="212">
        <v>1645</v>
      </c>
      <c r="D36" s="212">
        <v>1645</v>
      </c>
      <c r="E36" s="212"/>
      <c r="F36" s="212">
        <v>1645</v>
      </c>
      <c r="G36" s="223">
        <v>1645</v>
      </c>
      <c r="H36" s="223"/>
      <c r="I36" s="224"/>
      <c r="J36" s="205"/>
      <c r="K36" s="148"/>
      <c r="L36" s="109"/>
      <c r="M36" s="109"/>
    </row>
    <row r="37" spans="1:13" ht="21">
      <c r="A37" s="221" t="s">
        <v>225</v>
      </c>
      <c r="B37" s="225" t="s">
        <v>226</v>
      </c>
      <c r="C37" s="212">
        <f>32*5*12</f>
        <v>1920</v>
      </c>
      <c r="D37" s="212">
        <v>1920</v>
      </c>
      <c r="E37" s="212"/>
      <c r="F37" s="212">
        <v>1920</v>
      </c>
      <c r="G37" s="223">
        <v>1920</v>
      </c>
      <c r="H37" s="223"/>
      <c r="I37" s="224"/>
      <c r="J37" s="205"/>
      <c r="K37" s="148"/>
      <c r="L37" s="109"/>
      <c r="M37" s="109"/>
    </row>
    <row r="38" spans="1:13" ht="21">
      <c r="A38" s="455" t="s">
        <v>60</v>
      </c>
      <c r="B38" s="455"/>
      <c r="C38" s="456"/>
      <c r="D38" s="389"/>
      <c r="E38" s="238"/>
      <c r="F38" s="232"/>
      <c r="G38" s="213">
        <f>SUM(G34:G37)</f>
        <v>8195</v>
      </c>
      <c r="H38" s="213"/>
      <c r="I38" s="224">
        <f>G38</f>
        <v>8195</v>
      </c>
      <c r="J38" s="205"/>
      <c r="K38" s="148"/>
      <c r="L38" s="109"/>
      <c r="M38" s="109"/>
    </row>
    <row r="39" spans="1:13" ht="21">
      <c r="A39" s="226"/>
      <c r="B39" s="226"/>
      <c r="C39" s="227"/>
      <c r="D39" s="227"/>
      <c r="E39" s="227"/>
      <c r="F39" s="227"/>
      <c r="G39" s="228"/>
      <c r="H39" s="228"/>
      <c r="I39" s="229"/>
      <c r="J39" s="193"/>
      <c r="K39" s="152"/>
      <c r="L39" s="109"/>
      <c r="M39" s="109"/>
    </row>
    <row r="40" spans="1:13" ht="21">
      <c r="A40" s="226"/>
      <c r="B40" s="226"/>
      <c r="C40" s="227"/>
      <c r="D40" s="227"/>
      <c r="E40" s="227"/>
      <c r="F40" s="227"/>
      <c r="G40" s="227"/>
      <c r="H40" s="227"/>
      <c r="I40" s="230"/>
      <c r="J40" s="193"/>
      <c r="K40" s="152"/>
      <c r="L40" s="109"/>
      <c r="M40" s="109"/>
    </row>
    <row r="41" spans="1:13" ht="21">
      <c r="A41" s="226"/>
      <c r="B41" s="226"/>
      <c r="C41" s="227"/>
      <c r="D41" s="227"/>
      <c r="E41" s="227"/>
      <c r="F41" s="227"/>
      <c r="G41" s="242"/>
      <c r="H41" s="227"/>
      <c r="I41" s="230"/>
      <c r="J41" s="193"/>
      <c r="K41" s="152"/>
      <c r="L41" s="109"/>
      <c r="M41" s="109"/>
    </row>
    <row r="42" spans="1:13" ht="21">
      <c r="A42" s="253" t="s">
        <v>274</v>
      </c>
      <c r="B42" s="254"/>
      <c r="C42" s="255"/>
      <c r="D42" s="256"/>
      <c r="E42" s="241"/>
      <c r="F42" s="182"/>
      <c r="G42" s="182"/>
      <c r="H42" s="182"/>
      <c r="I42" s="183"/>
      <c r="J42" s="181"/>
      <c r="K42" s="152"/>
      <c r="L42" s="109"/>
      <c r="M42" s="109"/>
    </row>
    <row r="43" spans="1:13" s="226" customFormat="1" ht="21" customHeight="1">
      <c r="A43" s="253" t="s">
        <v>275</v>
      </c>
      <c r="B43" s="253"/>
      <c r="C43" s="257"/>
      <c r="D43" s="257"/>
      <c r="E43" s="227"/>
      <c r="F43" s="227"/>
      <c r="G43" s="227"/>
      <c r="H43" s="227"/>
      <c r="I43" s="230"/>
      <c r="J43" s="193"/>
      <c r="K43" s="230"/>
      <c r="L43" s="252"/>
      <c r="M43" s="252"/>
    </row>
    <row r="44" spans="1:13" ht="21">
      <c r="A44" s="174"/>
      <c r="B44" s="174"/>
      <c r="C44" s="258"/>
      <c r="D44" s="257"/>
      <c r="E44" s="227"/>
      <c r="I44" s="152"/>
      <c r="J44" s="153"/>
      <c r="K44" s="152"/>
      <c r="L44" s="109"/>
      <c r="M44" s="109"/>
    </row>
    <row r="45" spans="9:13" ht="14.25">
      <c r="I45" s="152"/>
      <c r="J45" s="153"/>
      <c r="K45" s="152"/>
      <c r="L45" s="109"/>
      <c r="M45" s="109"/>
    </row>
    <row r="46" spans="9:13" ht="14.25">
      <c r="I46" s="152"/>
      <c r="J46" s="153"/>
      <c r="K46" s="152"/>
      <c r="L46" s="109"/>
      <c r="M46" s="109"/>
    </row>
    <row r="47" spans="9:13" ht="14.25">
      <c r="I47" s="152"/>
      <c r="J47" s="153"/>
      <c r="K47" s="152"/>
      <c r="L47" s="109"/>
      <c r="M47" s="109"/>
    </row>
    <row r="48" spans="9:13" ht="14.25">
      <c r="I48" s="152"/>
      <c r="J48" s="153"/>
      <c r="K48" s="152"/>
      <c r="L48" s="109"/>
      <c r="M48" s="109"/>
    </row>
    <row r="49" spans="9:13" ht="14.25">
      <c r="I49" s="152"/>
      <c r="J49" s="153"/>
      <c r="K49" s="152"/>
      <c r="L49" s="109"/>
      <c r="M49" s="109"/>
    </row>
    <row r="50" spans="9:13" ht="14.25">
      <c r="I50" s="152"/>
      <c r="J50" s="153"/>
      <c r="K50" s="152"/>
      <c r="L50" s="109"/>
      <c r="M50" s="109"/>
    </row>
    <row r="51" spans="9:13" ht="14.25">
      <c r="I51" s="152"/>
      <c r="J51" s="153"/>
      <c r="K51" s="152"/>
      <c r="L51" s="109"/>
      <c r="M51" s="109"/>
    </row>
    <row r="52" spans="9:13" ht="14.25">
      <c r="I52" s="152"/>
      <c r="J52" s="153"/>
      <c r="K52" s="152"/>
      <c r="L52" s="109"/>
      <c r="M52" s="109"/>
    </row>
    <row r="53" spans="9:13" ht="14.25">
      <c r="I53" s="152"/>
      <c r="J53" s="153"/>
      <c r="K53" s="152"/>
      <c r="L53" s="109"/>
      <c r="M53" s="109"/>
    </row>
    <row r="54" spans="9:13" ht="14.25">
      <c r="I54" s="152"/>
      <c r="J54" s="153"/>
      <c r="K54" s="152"/>
      <c r="L54" s="109"/>
      <c r="M54" s="109"/>
    </row>
    <row r="55" spans="9:13" ht="14.25">
      <c r="I55" s="152"/>
      <c r="J55" s="153"/>
      <c r="K55" s="152"/>
      <c r="L55" s="109"/>
      <c r="M55" s="109"/>
    </row>
    <row r="56" spans="9:13" ht="14.25">
      <c r="I56" s="152"/>
      <c r="J56" s="153"/>
      <c r="K56" s="152"/>
      <c r="L56" s="109"/>
      <c r="M56" s="109"/>
    </row>
    <row r="57" spans="9:13" ht="14.25">
      <c r="I57" s="152"/>
      <c r="J57" s="153"/>
      <c r="K57" s="152"/>
      <c r="L57" s="109"/>
      <c r="M57" s="109"/>
    </row>
    <row r="58" spans="9:13" ht="14.25">
      <c r="I58" s="152"/>
      <c r="J58" s="153"/>
      <c r="K58" s="152"/>
      <c r="L58" s="109"/>
      <c r="M58" s="109"/>
    </row>
    <row r="59" spans="9:13" ht="14.25">
      <c r="I59" s="152"/>
      <c r="J59" s="153"/>
      <c r="K59" s="152"/>
      <c r="L59" s="109"/>
      <c r="M59" s="109"/>
    </row>
    <row r="60" spans="9:13" ht="14.25">
      <c r="I60" s="152"/>
      <c r="J60" s="153"/>
      <c r="K60" s="152"/>
      <c r="L60" s="109"/>
      <c r="M60" s="109"/>
    </row>
    <row r="61" spans="9:13" ht="14.25">
      <c r="I61" s="152"/>
      <c r="J61" s="153"/>
      <c r="K61" s="152"/>
      <c r="L61" s="109"/>
      <c r="M61" s="109"/>
    </row>
    <row r="62" spans="9:13" ht="14.25">
      <c r="I62" s="152"/>
      <c r="J62" s="153"/>
      <c r="K62" s="152"/>
      <c r="L62" s="109"/>
      <c r="M62" s="109"/>
    </row>
    <row r="63" spans="9:13" ht="14.25">
      <c r="I63" s="152"/>
      <c r="J63" s="153"/>
      <c r="K63" s="152"/>
      <c r="L63" s="109"/>
      <c r="M63" s="109"/>
    </row>
    <row r="64" spans="9:13" ht="14.25">
      <c r="I64" s="152"/>
      <c r="J64" s="153"/>
      <c r="K64" s="152"/>
      <c r="L64" s="109"/>
      <c r="M64" s="109"/>
    </row>
    <row r="65" spans="9:13" ht="14.25">
      <c r="I65" s="152"/>
      <c r="J65" s="153"/>
      <c r="K65" s="152"/>
      <c r="L65" s="109"/>
      <c r="M65" s="109"/>
    </row>
    <row r="66" spans="9:13" ht="14.25">
      <c r="I66" s="152"/>
      <c r="J66" s="153"/>
      <c r="K66" s="152"/>
      <c r="L66" s="109"/>
      <c r="M66" s="109"/>
    </row>
    <row r="67" spans="9:13" ht="14.25">
      <c r="I67" s="152"/>
      <c r="J67" s="153"/>
      <c r="K67" s="152"/>
      <c r="L67" s="109"/>
      <c r="M67" s="109"/>
    </row>
    <row r="68" spans="9:13" ht="14.25">
      <c r="I68" s="152"/>
      <c r="J68" s="153"/>
      <c r="K68" s="152"/>
      <c r="L68" s="109"/>
      <c r="M68" s="109"/>
    </row>
  </sheetData>
  <sheetProtection/>
  <mergeCells count="8">
    <mergeCell ref="H4:H5"/>
    <mergeCell ref="D4:D5"/>
    <mergeCell ref="E4:E5"/>
    <mergeCell ref="A38:C38"/>
    <mergeCell ref="A4:A5"/>
    <mergeCell ref="B4:B5"/>
    <mergeCell ref="G4:G5"/>
    <mergeCell ref="A31:C31"/>
  </mergeCells>
  <printOptions/>
  <pageMargins left="0.7" right="0.7" top="0.75" bottom="0.75" header="0.3" footer="0.3"/>
  <pageSetup fitToHeight="0" fitToWidth="1" horizontalDpi="1200" verticalDpi="12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2018-10-01T08:09:41Z</dcterms:modified>
  <cp:category/>
  <cp:version/>
  <cp:contentType/>
  <cp:contentStatus/>
</cp:coreProperties>
</file>