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6" activeTab="8"/>
  </bookViews>
  <sheets>
    <sheet name="bvc" sheetId="1" r:id="rId1"/>
    <sheet name="indicatori" sheetId="2" r:id="rId2"/>
    <sheet name="gradul de realizare" sheetId="3" r:id="rId3"/>
    <sheet name="trimestrialitatea" sheetId="4" r:id="rId4"/>
    <sheet name="programul de investitii" sheetId="5" r:id="rId5"/>
    <sheet name="reducerea stocurilor" sheetId="6" r:id="rId6"/>
    <sheet name="reducere a arieratelor" sheetId="7" r:id="rId7"/>
    <sheet name="situatia datoriilor" sheetId="8" r:id="rId8"/>
    <sheet name="masuri de imbunatatire" sheetId="9" r:id="rId9"/>
  </sheets>
  <definedNames>
    <definedName name="_xlnm.Print_Titles" localSheetId="0">'bvc'!$7:$9</definedName>
    <definedName name="_xlnm.Print_Titles" localSheetId="1">'indicatori'!$8:$9</definedName>
    <definedName name="_xlnm.Print_Titles" localSheetId="4">'programul de investitii'!$6:$8</definedName>
    <definedName name="_xlnm.Print_Titles" localSheetId="3">'trimestrialitatea'!$6:$7</definedName>
  </definedNames>
  <calcPr fullCalcOnLoad="1"/>
</workbook>
</file>

<file path=xl/comments5.xml><?xml version="1.0" encoding="utf-8"?>
<comments xmlns="http://schemas.openxmlformats.org/spreadsheetml/2006/main">
  <authors>
    <author>luminita.gherendi</author>
  </authors>
  <commentList>
    <comment ref="H17" authorId="0">
      <text>
        <r>
          <rPr>
            <b/>
            <sz val="8"/>
            <rFont val="Tahoma"/>
            <family val="0"/>
          </rPr>
          <t>luminita.gherendi: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<sst xmlns="http://schemas.openxmlformats.org/spreadsheetml/2006/main" count="912" uniqueCount="575">
  <si>
    <t>ANEXA nr. 1 la HCJ nr.__________</t>
  </si>
  <si>
    <t>BUGETUL DE VENITURI ŞI CHELTUIELI PE ANUL 2013</t>
  </si>
  <si>
    <t>Din care:</t>
  </si>
  <si>
    <t>%</t>
  </si>
  <si>
    <t>S.I.E.G.</t>
  </si>
  <si>
    <t>A.C.</t>
  </si>
  <si>
    <t>1</t>
  </si>
  <si>
    <t>I</t>
  </si>
  <si>
    <t>VENITURI TOTALE (Rd.1=Rd.2+Rd.3+Rd.4)</t>
  </si>
  <si>
    <t>Venituri din exploatare</t>
  </si>
  <si>
    <t>Venituri financiare</t>
  </si>
  <si>
    <t>3</t>
  </si>
  <si>
    <t>Venituri extraordinare</t>
  </si>
  <si>
    <t>II</t>
  </si>
  <si>
    <t>CHELTUIELI TOTALE (Rd.5=Rd.6+Rd.17+Rd.18)</t>
  </si>
  <si>
    <t>Cheltuieli de exploatare, din care:</t>
  </si>
  <si>
    <t>A</t>
  </si>
  <si>
    <t>cheltuieli cu bunuri</t>
  </si>
  <si>
    <t>B</t>
  </si>
  <si>
    <t>Cheltuieli de exploatare, din care(energie+apa):</t>
  </si>
  <si>
    <t>C.</t>
  </si>
  <si>
    <t>Cheltuieli cu personalul, din care:</t>
  </si>
  <si>
    <t>C1</t>
  </si>
  <si>
    <t>ch.cu salariile</t>
  </si>
  <si>
    <t>C2</t>
  </si>
  <si>
    <t>bonusuri</t>
  </si>
  <si>
    <t>C3</t>
  </si>
  <si>
    <t xml:space="preserve">alte cheltuieli cu personalul, din care: </t>
  </si>
  <si>
    <t>cheltuieli cu plăţi compensatorii aferente disponibilizărilor de personal</t>
  </si>
  <si>
    <t>C4</t>
  </si>
  <si>
    <t>cheltuieli aferente contractului de mandat</t>
  </si>
  <si>
    <t>C5</t>
  </si>
  <si>
    <t>cheltuieli cu asigurările şi protecţia socială,fondurile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</si>
  <si>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</si>
  <si>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</si>
  <si>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</si>
  <si>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</si>
  <si>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</si>
  <si>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BRUT(profit/pierdere)</t>
  </si>
  <si>
    <t>IV</t>
  </si>
  <si>
    <t>IMPOZIT PE PROFIT</t>
  </si>
  <si>
    <t>V</t>
  </si>
  <si>
    <t>ROFITUL CONTABIL RĂMAS DUPĂ DEDUCEREA IMPOZITULUI PE PROFIT, din care:</t>
  </si>
  <si>
    <t>Rezerve legale</t>
  </si>
  <si>
    <t>Alte rezerve reprezentând facilităţi fiscale prevăzute de lege</t>
  </si>
  <si>
    <t xml:space="preserve">Acoperirea pierderilor contabile din anii precedenţii </t>
  </si>
  <si>
    <t>Constituirea surselor proprii de finanţare pentru proiectelor cofinanţate din împrumuturi externe, precum şi pentru constituirea surselor necesare rambursării ratelor de capital, plăţii dobânzilor, comisioanelor şi altor costuri aferente acestor împrumutări</t>
  </si>
  <si>
    <t>Alte repartizări prevăzute de lege</t>
  </si>
  <si>
    <t>Profitul contabil rămas după deducerea sumelor de la Rd.22,23,24,25 şi 26,27</t>
  </si>
  <si>
    <t>Participarea salariaţiilor la profit în limita a 10% din profitul net, dar nu mai mult de nivelul unui salariu de bază mediu lunar realizat la nivelul operatorului economic în exerciţiul de referinţă</t>
  </si>
  <si>
    <t>Minimum 50% vărsăminte la bugetul de stat sau local în cazul regiilor autonome, ori dividende cuvenite acţionarilor, în cazul societăţilor/companiilor naţionale şi societăţilor cu capital integral sau majoritar de stat, din care:</t>
  </si>
  <si>
    <t>a)</t>
  </si>
  <si>
    <t>-dividende cuvenite bugetului de stat sau local,după caz</t>
  </si>
  <si>
    <t>Profitul nerepartizat pe destinaţiile prevăzute la Rd.22-Rd.29 se repartizează la alte rezerve şi constituie sursă proprie de finanţare</t>
  </si>
  <si>
    <t>VI</t>
  </si>
  <si>
    <t>VENITURI DIN FONDURI EUROPENE</t>
  </si>
  <si>
    <t>VII</t>
  </si>
  <si>
    <t>CHELTUIELI ELIGIBILE DIN FONDURI EUROPENE, din care:</t>
  </si>
  <si>
    <t>cheltuieli materiale</t>
  </si>
  <si>
    <t>b)</t>
  </si>
  <si>
    <t>cheltuieli cu salariile</t>
  </si>
  <si>
    <t>c)</t>
  </si>
  <si>
    <t>cheltuieli cu prestăriile de servicii</t>
  </si>
  <si>
    <t>d)</t>
  </si>
  <si>
    <t>cheltuieli cu reclamă şi publicitate</t>
  </si>
  <si>
    <t>e)</t>
  </si>
  <si>
    <t>alte cheltuieli</t>
  </si>
  <si>
    <t>VIII</t>
  </si>
  <si>
    <t>SURSE DE FINANŢARE A INVESTIŢIILOR, din care:</t>
  </si>
  <si>
    <t>Alocaţii de la buget</t>
  </si>
  <si>
    <t>IX</t>
  </si>
  <si>
    <t>CHELTUIELI PENTRU INVESTIŢII</t>
  </si>
  <si>
    <t>DATE DE FUNDAMENTARE</t>
  </si>
  <si>
    <t>Nr.de personal prognozat la finele anului</t>
  </si>
  <si>
    <t>Nr.mediu de salariaţi total</t>
  </si>
  <si>
    <t>Cheltuieli de natură salarială(a+b), din care:</t>
  </si>
  <si>
    <t>Câştigul mediu lunar pe salariat(lei/persoană) determinat pe baza fondului de salarii aferent personalului angajat pe bază de contract individual de muncă Rd.46/Rd.44/ 12 *1000</t>
  </si>
  <si>
    <t>Câştigul mediu lunar pe salariat(lei/persoană) influenţat de bonificaţiile şi bonusurile în lei şi sau natură (Rd.45/Rd.44 / 12*1000</t>
  </si>
  <si>
    <t>Productivitatea muncii în unităţi valorice pe total personal mediu în preţuri curente (lei / persoană)(Rd.1 / Rd.44)</t>
  </si>
  <si>
    <t>Productivitatea muncii în unităţi valorice pe total personal mediu în preţuri comparabile ( lei/ persoană)(Rd.1 / Rd.44*ICP)</t>
  </si>
  <si>
    <t>Productivitatea muncii în unităţi fizice pe total personal mediu( unităţi fizice/ persoană)</t>
  </si>
  <si>
    <t>Cheltuieli totale la 1000 lei venituri totale (Rd.5 / Rd.1)x1000</t>
  </si>
  <si>
    <t>Plăţi restante, în preţuri curente</t>
  </si>
  <si>
    <t>Creanţe restante,în preţuri curente</t>
  </si>
  <si>
    <t>ANEXA nr. 2 la HCJ nr.__________</t>
  </si>
  <si>
    <t>DETALIEREA INDICATORILOR ECONOMICO - FINANCIARI PREVĂZUŢI ÎN BUGETUL DE VENITURI ŞI CHELTUIELI</t>
  </si>
  <si>
    <t>mii lei</t>
  </si>
  <si>
    <t>Nr.rd.</t>
  </si>
  <si>
    <t>Aprobat</t>
  </si>
  <si>
    <t>total         (SIEG+A.C.)</t>
  </si>
  <si>
    <t>SIEG</t>
  </si>
  <si>
    <t>8 = 5 / 4</t>
  </si>
  <si>
    <t>VENITURI TOTALE (Rd.2+Rd.23+Rd.29)</t>
  </si>
  <si>
    <t>Venituri din exploatare                                   (Rd.3 + Rd.8 +Rd.9+Rd.13+Rd.14+Rd.15), din care:</t>
  </si>
  <si>
    <t>din producţia vândută (Rd.4+Rd.5+Rd.6+Rd.7),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</si>
  <si>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</si>
  <si>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</si>
  <si>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</si>
  <si>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</si>
  <si>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</si>
  <si>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</si>
  <si>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</si>
  <si>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</si>
  <si>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</si>
  <si>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din subvenţii şi transferuri de exploatare aferente cifrei de afaceri nete(Rd.10+Rd.11+Rd.12), din care:</t>
  </si>
  <si>
    <t>c1)</t>
  </si>
  <si>
    <t>subvenţii, cf.prevederilor legale în vigoare</t>
  </si>
  <si>
    <t>c2)</t>
  </si>
  <si>
    <t>transferuri, cf.prevederilor legal în vigoare</t>
  </si>
  <si>
    <t>c3)</t>
  </si>
  <si>
    <t>transferuri pentru plata personalului din producţia de imobilizări</t>
  </si>
  <si>
    <t>din producţia de imobilizări</t>
  </si>
  <si>
    <t>venituri aferente costului producţiei în curs de execuţie</t>
  </si>
  <si>
    <t>f)</t>
  </si>
  <si>
    <t>alte venituri din exploatare (Rd.16+Rd.17+Rd.20+Rd.21+Rd.22),din care:</t>
  </si>
  <si>
    <t>f1)</t>
  </si>
  <si>
    <t>din amenzi şi penalităţi</t>
  </si>
  <si>
    <t>f2)</t>
  </si>
  <si>
    <t>din vânzarea activelor şi alte operaţii de capital ( Rd. 18 + Rd. 19), din care:</t>
  </si>
  <si>
    <t>- active corporale</t>
  </si>
  <si>
    <t>- active necorporale</t>
  </si>
  <si>
    <t>f3)</t>
  </si>
  <si>
    <t>din subvenţii pentru investiţii</t>
  </si>
  <si>
    <t>f4)</t>
  </si>
  <si>
    <t xml:space="preserve">din valorificarea certificatelor </t>
  </si>
  <si>
    <t>Venituri financiare ( Rd.24 + Rd.25 + Rd.26 + Rd.27+ Rd.28), din care:</t>
  </si>
  <si>
    <t>din imobilizări financiare</t>
  </si>
  <si>
    <t>din investiţii financiară</t>
  </si>
  <si>
    <t>din diferenţe de curs</t>
  </si>
  <si>
    <t>din dobânzi</t>
  </si>
  <si>
    <t>alte venituri financiare</t>
  </si>
  <si>
    <t>CHELTUIELI TOTALE(Rd.31+Rd.131+Rd.139)</t>
  </si>
  <si>
    <t>Cheltuieli de exploatare(Rd.32+Rd.80+Rd.87+Rd.116), din care:</t>
  </si>
  <si>
    <t>A.Cheltuieli cu bunuri şi servicii (Rd.33+Rd.41+Rd.47), din care:</t>
  </si>
  <si>
    <t>A1</t>
  </si>
  <si>
    <t>Cheltuieli privind stocurile (Rd.34+ Rd.35+Rd.38+Rd.39+Rd.40), din care:</t>
  </si>
  <si>
    <t>cheltuieli cu materiile prime</t>
  </si>
  <si>
    <t>cheltuieli cu materialele consumabile consumabile, din care:</t>
  </si>
  <si>
    <t>b1)</t>
  </si>
  <si>
    <t>cheltuieli cu piesele de schimb</t>
  </si>
  <si>
    <t>b2)</t>
  </si>
  <si>
    <t>cheltuieli cu combustibilii+lichid de degivrare</t>
  </si>
  <si>
    <t>cheltuieli privind materialele de natura obiectelor de inventar</t>
  </si>
  <si>
    <t>cheltuieli privind energia şi apa</t>
  </si>
  <si>
    <t>cheltuieli privind mărfurile</t>
  </si>
  <si>
    <t>A2</t>
  </si>
  <si>
    <t>Cheltuieli privind serviciile executate de terţi (Rd.42+Rd.43+Rd.46), din care:</t>
  </si>
  <si>
    <t>Cheltuieli cu întreţinerea şi reparaţiile</t>
  </si>
  <si>
    <t>cheltuieli privind chiriile (Rd.44+Rd.45),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</si>
  <si>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</si>
  <si>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</si>
  <si>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</si>
  <si>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</si>
  <si>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terţi A3(Rd.48+Rd.49+Rd.51+Rd.58+Rd.63+Rd.64+Rd.68+Rd.69+Rd.70+Rd.79), din care:</t>
  </si>
  <si>
    <t>cheltuieli cu colaboratorii</t>
  </si>
  <si>
    <t>cheltuieli privind comisioanele şi onorariul, din care:</t>
  </si>
  <si>
    <t>cheltuieli privind consultanţa juridice</t>
  </si>
  <si>
    <t>cheltuieli de protocol, reclamă şi publicitate(Rd.52+Rd.54), din care:</t>
  </si>
  <si>
    <t>cheltuieli de protocol, din care:</t>
  </si>
  <si>
    <t>- tichete cadou potrivit Legii nr.193/2006, cu modificările ulterioare</t>
  </si>
  <si>
    <t>cheltuieli de reclamă şi publicitate, din care:</t>
  </si>
  <si>
    <t>- tichete cadou potrivit ptr.cheltuieli de reclamă şi publicitate, potrivit Legii nr.193/2006, cu modificările ulterioare</t>
  </si>
  <si>
    <t>- tichete cadou potrivit ptr.campanii de marketing,studiul pieţei, promovarea pe pieţe existente sau noi, potrivit Legii nr.193/2006, cu modificările ulterioare</t>
  </si>
  <si>
    <t>- ch.de promovarea produselor</t>
  </si>
  <si>
    <t>Ch.cu sponsorizarea (Rd.59+Rd.60+Rd.61+Rd.62), din care:</t>
  </si>
  <si>
    <t>d1)</t>
  </si>
  <si>
    <t>ch.de sponsorizare a cluburilor sportive</t>
  </si>
  <si>
    <t>d2)</t>
  </si>
  <si>
    <t>ch.de sponsorizare a unităţilor de cult</t>
  </si>
  <si>
    <t>d3)</t>
  </si>
  <si>
    <t>ch.privind acordarea ajutoarelor umanitare şi sociale</t>
  </si>
  <si>
    <t>d4)</t>
  </si>
  <si>
    <t>alte cheltuieli cu sponsorizarea</t>
  </si>
  <si>
    <t>cheltuieli cu transportul de bunuri şi persoane</t>
  </si>
  <si>
    <t>cheltuieli de deplasare, detaşare, transfer, din care:</t>
  </si>
  <si>
    <t>- cheltuieli cu diurna (Rd.66+Rd.67), din care:</t>
  </si>
  <si>
    <t>- internă</t>
  </si>
  <si>
    <t>- externă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</si>
  <si>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</si>
  <si>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</si>
  <si>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</si>
  <si>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</si>
  <si>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</si>
  <si>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</si>
  <si>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</si>
  <si>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</si>
  <si>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</si>
  <si>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</si>
  <si>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</si>
  <si>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</si>
  <si>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</si>
  <si>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</si>
  <si>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 aferente bunurilor de natura domeniului public</t>
  </si>
  <si>
    <t>i5)</t>
  </si>
  <si>
    <t>cheltuieli cu prestaţiile efectuate de filiale</t>
  </si>
  <si>
    <t>i6)</t>
  </si>
  <si>
    <t>cheltuieli privind recrutarea şi plasarea personalului de conducere cf.Ordonanţei de urgenţă a Guvernului nr.109/2011</t>
  </si>
  <si>
    <t>i7)</t>
  </si>
  <si>
    <t>cheltuieli cu anunţurile privind licitaţiile şi alte anunţuri</t>
  </si>
  <si>
    <t>j)</t>
  </si>
  <si>
    <t>B.Cheltuieli cu impozite, taxe şi vărsăminte asimilate(Rd.81+Rd.82+Rd.83+Rd.84+Rd.85+Rd.86), din care:</t>
  </si>
  <si>
    <t>ch.cu taxa pt.activitatea de exploatare a resurselor minerale</t>
  </si>
  <si>
    <t>ch.cu redevenţa pentru concesionarea bunurilor publice şi resursele minerale</t>
  </si>
  <si>
    <t>ch.cu taxa de licenţă</t>
  </si>
  <si>
    <t>ch.cu taxa de autorizare</t>
  </si>
  <si>
    <t>ch.cu taxa de mediu</t>
  </si>
  <si>
    <t>cheltuieli cu alte taxe şi  impozite</t>
  </si>
  <si>
    <t>C. Cheltuieli cu personalul(Rd.88+Rd.92+Rd.100+Rd.104+Rd.109)</t>
  </si>
  <si>
    <t>Cheltuieli cu salariile(Rd.89+Rd.90+Rd.91), din care:</t>
  </si>
  <si>
    <t>a) salarii de bază</t>
  </si>
  <si>
    <t>b) poruri, prime şi alte bonificaţii aferente salariului de bază(conform CCM)</t>
  </si>
  <si>
    <t>c) alte bonificaţii(conform CCM)</t>
  </si>
  <si>
    <t>Bonusuri (Rd.93+ Rd.96+Rd.97+Rd.98+Rd.99), din care:</t>
  </si>
  <si>
    <t>a) cheltuieli sociale prevăzute la art.21 din Legea nr.571/2003 privind Codul fiscal, cu modificările şi completările ulterioare, din care:</t>
  </si>
  <si>
    <t>- tichete de creşe,cf.Legii nr.193/2006, cu modificările ulterioare;</t>
  </si>
  <si>
    <t>- tichete cadou pentru cheltuieli sociale potrivit cf.Legii nr.193/2006, cu modificările ulterioare;</t>
  </si>
  <si>
    <t>b) tichete de masă</t>
  </si>
  <si>
    <t>c) tichete de vacanţă;</t>
  </si>
  <si>
    <t>d)ch.privind participarea salariaţilor la profitul obţinut în anul precedent</t>
  </si>
  <si>
    <t>e) alte cheltuieli conform CCM</t>
  </si>
  <si>
    <t>Alte cheltuieli cu personalul(Rd.101 + Rd.102 + Rd.103), din care:</t>
  </si>
  <si>
    <t>a) ch.cu plăţile compensatorii aferente disponibilizărilor de personal</t>
  </si>
  <si>
    <t>b) ch.cu drepturile salariale cuvenite în baza unor hotărâri judecătoreşti</t>
  </si>
  <si>
    <t>c) cheltuieli de natură salarială aferente restructurării, privatizării, administrator special, alte comisii şi comitete</t>
  </si>
  <si>
    <t>Cheltuieli aferente contractului de mandat şi a altor ogane de conducere şi control, comisii şi comitete(Rd.105 + Rd.106 + Rd.107 + Rd.108), din care:</t>
  </si>
  <si>
    <t>a) pentru directori/ directorat</t>
  </si>
  <si>
    <t>b) pentru consiliul de administraţie/ consiliul desupraveghere</t>
  </si>
  <si>
    <t>c) pentru AGA şi cenzori</t>
  </si>
  <si>
    <t>d) pentru alte comisii şi comitete constituite potrivit legii</t>
  </si>
  <si>
    <t>Cheltuieli cu asigurările şi protecţia socială, fonduri speciale şi alte obligaţii legale (Rd.110 + Rd.111 + Rd.112 + Rd.113+ Rd.114 + Rd.115), din care:</t>
  </si>
  <si>
    <t>a) ch.privind contribuţia la asigurările sociale</t>
  </si>
  <si>
    <t>b) ch. Privind contribuţia la asigurările pt.şomaj</t>
  </si>
  <si>
    <t>c) ch. Privind contribuţia la asigurările sociale de sănătate</t>
  </si>
  <si>
    <t>d) ch. Privind contribuţiile la fondurile speciale aferente fondului de salarii</t>
  </si>
  <si>
    <t>e) ch. privind contribuţia unităţii la schemele de pensii</t>
  </si>
  <si>
    <t>f) ch. Privind alte contribuţii şi fonduri speciale</t>
  </si>
  <si>
    <t>D. Alte cheltuieli de exploatare ( Rd.117 + Rd.120 + Rd.121 + Rd.122 + Rd.123+ Rd.124), din care:</t>
  </si>
  <si>
    <t>cheltuieli cu majorări şi penalităţi ( Rd.118 + Rd.119), din care: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</si>
  <si>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</si>
  <si>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</si>
  <si>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</si>
  <si>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</si>
  <si>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ch.cu amortizarea imobilizărilor corporale şi necorporale</t>
  </si>
  <si>
    <t>ajustări şi deprecieri pentru pierderi de valoare şi provizioane ( Rd.125 + Rd. 126), din care:</t>
  </si>
  <si>
    <t>cheltuieli privind ajustările şi provizioanele</t>
  </si>
  <si>
    <t>venituri din provizioane şi ajustări pentru depreciere sau pierderi de valoare, din care:</t>
  </si>
  <si>
    <t>f2.1)</t>
  </si>
  <si>
    <t>din anularea provizioanelor (Rd. 128 + Rd.129 + Rd.130),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</si>
  <si>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</si>
  <si>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</si>
  <si>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</si>
  <si>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 132+ Rd.135 + Rd.138), din care:</t>
  </si>
  <si>
    <t>cheltuieli privind dobânzile (Rd.133 + Rd. 134), din care:</t>
  </si>
  <si>
    <t xml:space="preserve">aferente creditelor pentru investiţii </t>
  </si>
  <si>
    <t>aferente creditelor pentru activitatea curentă</t>
  </si>
  <si>
    <t>cheltuieli din diferenţe de curs valutar (Rd. 136 + Rd.137), din care:</t>
  </si>
  <si>
    <t>afernte creditelor pentru activitatea curentă</t>
  </si>
  <si>
    <t>alte cheltuieli financiare</t>
  </si>
  <si>
    <t>Rezultatul brut( profit/ pierdere)(Rd. 1  - Rd.30)</t>
  </si>
  <si>
    <t>Cheltuieli nedeductibile fiscal</t>
  </si>
  <si>
    <t>Nr. de personal prognozat la finele anului</t>
  </si>
  <si>
    <t>Nr.mediu de salariaţi</t>
  </si>
  <si>
    <t>Câştigul mediu lunar pe salariat aferent salariului de bază ( lei/ persoană) (Rd. 89 / Rd. 145) / 12*1000</t>
  </si>
  <si>
    <t>Câştigul mediu lunar pe salariat determinat pe baza fondului de salarii aferent personalului angajat pe bază de contract individual de muncă ( lei / pers.) (Rd. 88 / Rd. 145 ) / 12 * 1000</t>
  </si>
  <si>
    <t>Câştigul mediu lunar pe salariat ( lei / persoană) influenţat de bonificaţiile şi bonusurile în lei şi sau natură(( Rd.88 + Rd. 92) / Rd.145) / 12 * 1000</t>
  </si>
  <si>
    <t>Productivitatea muncii în unităţi valorice pe total personal mediu în preţuri curente ( lei / persoană) (Rd.1 / Rd. 145)</t>
  </si>
  <si>
    <t>Productivitatea muncii în unităţi valorice pe total personal mediu în preţuri comparabile ( lei / persoană) (Rd.149 x ICP)</t>
  </si>
  <si>
    <t>Productivitatea muncii ajustată 1( lei / persoană) ( Rd.1 - Rd. 17 - Rd. 20) / Rd.145</t>
  </si>
  <si>
    <t>Productivitatea muncii ajustat 2 ( lei / persoană ) (Rd. 2 - Rd. 17 - Rd. 20) / Rd. 145</t>
  </si>
  <si>
    <t>Productivitatea muncii în unităţi fizice pe total personal mediu ( unităţi fizice / persoană ) W = NUF / Rd. 145</t>
  </si>
  <si>
    <t>e1)</t>
  </si>
  <si>
    <t>Elemente de calcul a productivităţii muncii în unităţi fizice, din care:</t>
  </si>
  <si>
    <t>- număr unităţi fizice NUF</t>
  </si>
  <si>
    <t>- preţ / tarif / UF</t>
  </si>
  <si>
    <t>- valoare = UF X T / P</t>
  </si>
  <si>
    <t>- pondere în venituri totale = Rd. 157 /       Rd. 1</t>
  </si>
  <si>
    <t>ANEXA nr. 3 la HCJ nr.__________</t>
  </si>
  <si>
    <t>Gradul de realizare a veniturilor proprii</t>
  </si>
  <si>
    <t>Nr.  crt.</t>
  </si>
  <si>
    <t>INDICATORI</t>
  </si>
  <si>
    <t>Realizat</t>
  </si>
  <si>
    <t>Încasat</t>
  </si>
  <si>
    <t>5=4/2</t>
  </si>
  <si>
    <t>9=8/6</t>
  </si>
  <si>
    <t>Venituri proprii din exploatare:</t>
  </si>
  <si>
    <t>Nr.crt.</t>
  </si>
  <si>
    <t>ANEXA nr. 5 la HCJ nr.__________</t>
  </si>
  <si>
    <t>Programul de investiţii, dotări şi sursele de finanţare</t>
  </si>
  <si>
    <t>Data finalizării investiţiei</t>
  </si>
  <si>
    <t>Valoare</t>
  </si>
  <si>
    <t>Realizat/     Preliminat</t>
  </si>
  <si>
    <t>Surse proprii, din care:</t>
  </si>
  <si>
    <t>a) - amortizare</t>
  </si>
  <si>
    <t>a) - profit</t>
  </si>
  <si>
    <t>Credite bancare, din care:</t>
  </si>
  <si>
    <t>a) - interne</t>
  </si>
  <si>
    <t>b) - externe</t>
  </si>
  <si>
    <t>Alte surse, din care:</t>
  </si>
  <si>
    <t>- (denumire sursă)</t>
  </si>
  <si>
    <t>CHELTUIELI PENTRU INVESTIŢII, din care:</t>
  </si>
  <si>
    <t>Investiţii în curs, din care:</t>
  </si>
  <si>
    <t>a) pentru bunurile proprietate privată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</si>
  <si>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</si>
  <si>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</si>
  <si>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</si>
  <si>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</si>
  <si>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</si>
  <si>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a) pentru bunurile proprietate private a operatorului economic:</t>
  </si>
  <si>
    <t>Investiţii efectuate la imobilizările corporale existente ( modernizări) din care:</t>
  </si>
  <si>
    <t>Dotări ( alte achiziţii de imobilizări corporale)</t>
  </si>
  <si>
    <t>Rambursări de rate aferente creditelor pentru investiţii, din care:</t>
  </si>
  <si>
    <t>ANEXA nr. 6 la HCJ nr.__________</t>
  </si>
  <si>
    <t>Programul de reducere a stocurilor</t>
  </si>
  <si>
    <t>Stocuri</t>
  </si>
  <si>
    <t>aferente prod.şi  cons.propriu pt.desf.activităţii</t>
  </si>
  <si>
    <t>vânzări, lichidări de stocuri</t>
  </si>
  <si>
    <t>7=3+4-5-6</t>
  </si>
  <si>
    <t>1.</t>
  </si>
  <si>
    <t>Materii prime, din care:</t>
  </si>
  <si>
    <t>1a)</t>
  </si>
  <si>
    <t xml:space="preserve">- stocuri fără mişcare                   </t>
  </si>
  <si>
    <t>2.</t>
  </si>
  <si>
    <t>Materiale, din care:</t>
  </si>
  <si>
    <t>2a)</t>
  </si>
  <si>
    <t>3.</t>
  </si>
  <si>
    <t>Obiecte de inventar:</t>
  </si>
  <si>
    <t>3a)</t>
  </si>
  <si>
    <t>4.</t>
  </si>
  <si>
    <t>Piese de schimb, din care:</t>
  </si>
  <si>
    <t>4a)</t>
  </si>
  <si>
    <t>5.</t>
  </si>
  <si>
    <t>Produse finite, din care:</t>
  </si>
  <si>
    <t>5a)</t>
  </si>
  <si>
    <t>Alte stocuri, din care:</t>
  </si>
  <si>
    <t>6a)</t>
  </si>
  <si>
    <t>TOTAL GENERAL(Rd.1+Rd.2+Rd.3+Rd.4+Rd.5+Rd.6), din care:</t>
  </si>
  <si>
    <t>- stocuri fără mişcare                       ( Rd.1a+Rd.2a+Rd.3a+Rd.4a+ Rd.5a+Rd.6a)</t>
  </si>
  <si>
    <t>ANEXA nr.7 la HCJ nr.__________</t>
  </si>
  <si>
    <t>Programul de reducere a arieratelor</t>
  </si>
  <si>
    <t>Arierate</t>
  </si>
  <si>
    <t>Sold iniţial an curent (N)</t>
  </si>
  <si>
    <t>Reduceri</t>
  </si>
  <si>
    <t>a</t>
  </si>
  <si>
    <t>b</t>
  </si>
  <si>
    <t>c</t>
  </si>
  <si>
    <t>d</t>
  </si>
  <si>
    <t>e</t>
  </si>
  <si>
    <t>Total an curent (N)</t>
  </si>
  <si>
    <t>din care :  Surse an curent  (N)</t>
  </si>
  <si>
    <t>încasări creanţe</t>
  </si>
  <si>
    <t>credite</t>
  </si>
  <si>
    <t>alte surse</t>
  </si>
  <si>
    <t>4=5+6+7</t>
  </si>
  <si>
    <t>8=3-4</t>
  </si>
  <si>
    <t>10=8-9</t>
  </si>
  <si>
    <t>12=10-11</t>
  </si>
  <si>
    <t>TOTAL (Rd.1a+Rd.1b), din care:</t>
  </si>
  <si>
    <t xml:space="preserve">- buget general consolidat                  </t>
  </si>
  <si>
    <t>1b)</t>
  </si>
  <si>
    <t xml:space="preserve">- alţi creditori             </t>
  </si>
  <si>
    <t>TOTAL arierate înregistrate în anul precedent (N-1)               (Rd.2a + Rd.2b), din care:</t>
  </si>
  <si>
    <t>2a).</t>
  </si>
  <si>
    <t xml:space="preserve">- buget general consolidat              </t>
  </si>
  <si>
    <t>2b).</t>
  </si>
  <si>
    <t xml:space="preserve">- alţi creditori        </t>
  </si>
  <si>
    <t>ANEXA nr. 8 la HCJ nr.__________</t>
  </si>
  <si>
    <t>Situaţia datoriilor rezultate din împrumuturile contractate</t>
  </si>
  <si>
    <t>Valoarea creditului conform contractului</t>
  </si>
  <si>
    <t>Perioada de rambursare în ani</t>
  </si>
  <si>
    <t>f</t>
  </si>
  <si>
    <t>Credite pentru activitatea curentă</t>
  </si>
  <si>
    <t>Total A</t>
  </si>
  <si>
    <t>Credite pentru activitatea investiţii</t>
  </si>
  <si>
    <t>Total B</t>
  </si>
  <si>
    <t>Total general A+B</t>
  </si>
  <si>
    <t>ANEXA nr. 9 la HCJ nr.__________</t>
  </si>
  <si>
    <t>Măsuri de îmbunătăţire a rezultatului brut şi reducere a arieratelor</t>
  </si>
  <si>
    <t>Crt.crt.</t>
  </si>
  <si>
    <t>Măsuri</t>
  </si>
  <si>
    <t>Termen de realizare</t>
  </si>
  <si>
    <t>Preliminat    /Realizat</t>
  </si>
  <si>
    <t>X</t>
  </si>
  <si>
    <t>Măsura 2  …</t>
  </si>
  <si>
    <t>Alte măsuri …</t>
  </si>
  <si>
    <t>TOTAL Pct.I</t>
  </si>
  <si>
    <t>Cauze care diminuează efectul măsurilor prevăzute la Pct.I</t>
  </si>
  <si>
    <t>Cauza 1 …</t>
  </si>
  <si>
    <t>Cauza 2 …</t>
  </si>
  <si>
    <t>Alte cauze …</t>
  </si>
  <si>
    <t>TOTAL Pct.II</t>
  </si>
  <si>
    <t>TOTAL GENERAL     Pct.I+ Pct.II</t>
  </si>
  <si>
    <t>taxa securitate</t>
  </si>
  <si>
    <t>echipament aluminizat de stingere incendii</t>
  </si>
  <si>
    <t>Aparat control Rx cu TIP instalat cu tunel de mici dimensiuni şi sistem LEDS încorporat. (1 buc.)</t>
  </si>
  <si>
    <t>Echipament de securitate tip LEDS (2 buc)</t>
  </si>
  <si>
    <t>Server Proliant  DL380 G7 Xeon Core Quad E 5606 (2 buc)</t>
  </si>
  <si>
    <t>Windows 2008 Server (2 buc)</t>
  </si>
  <si>
    <t>UPS 1000 VA, Rack mountable (1 buc)</t>
  </si>
  <si>
    <t>Echipamente de comunicaţii radio 9 buc</t>
  </si>
  <si>
    <t>Aparat de verificat valuta (2 buc)</t>
  </si>
  <si>
    <t>aparat infoliat bagaje 1 buc</t>
  </si>
  <si>
    <t>Utilaj de tractare echipament de împrăştiere substanţe solide pe pistă ( 1 buc)</t>
  </si>
  <si>
    <t>acumulatori (de forta) pt electrocar de bagaje EP06 1 set</t>
  </si>
  <si>
    <t>tunel extensibil grupare pasageri 2 buc</t>
  </si>
  <si>
    <t>Mutare pedală panică şi upgrade sistem TVCI + TVCI auto</t>
  </si>
  <si>
    <t>Executie dupa PT balizare la platforma Alfa ,cale de rulare ,pilon iluminat si upgrade telecomanda-1 ans</t>
  </si>
  <si>
    <t>Lucrari  înlocuire cazane la CT1 (conform proiect) - 1 ans</t>
  </si>
  <si>
    <t xml:space="preserve">Lucrări de balizaj şi sistem de iluminare platformă Bravo, cale de rulare Bravo si buzunare de intoarcere, cu conformare la noile cerinţe de balizare </t>
  </si>
  <si>
    <t>Piloni de iluminare mobil cu generator de curent (1buc)</t>
  </si>
  <si>
    <t>motopompa 1 buc</t>
  </si>
  <si>
    <t>Autospeciala de stins incendii de aeroport (1 buc)</t>
  </si>
  <si>
    <t>analizor de calitate a energiei pt uzina electrica si echipamente de 400 Hz mentenanta 1 buc</t>
  </si>
  <si>
    <t>Echipament pentru împrăştiere substanţe solide pe pistă, tractabil, cu rezervor tampon de min. 1500 Kg - 1 bc</t>
  </si>
  <si>
    <t>Echipament pentru intretinere marcaje rutiere - 1 bc</t>
  </si>
  <si>
    <t>Echipament pentru verificare şi programare componente balizaj (scroll) - 1 bc</t>
  </si>
  <si>
    <t>Tractor echipat cu lamă şi dispozitiv de măturat</t>
  </si>
  <si>
    <t>echipament de tractare/impingere aeronave 1 buc</t>
  </si>
  <si>
    <t>Echipament multifunctional dezapezire(1 buc)</t>
  </si>
  <si>
    <t>Lamă şi dispozitiv de fixare tractor (1 buc) Farmtrac</t>
  </si>
  <si>
    <t>Stivuitor 3,5 tone(1 buc)</t>
  </si>
  <si>
    <t>executie etapa 1 drum perimetral</t>
  </si>
  <si>
    <t>Echipament autotazare parcare 2 buc</t>
  </si>
  <si>
    <t>Aparat de numarat bani 1 buc</t>
  </si>
  <si>
    <t>Upgrade soft sistem Check ing si porti de imbarcare 8 statii de lucru</t>
  </si>
  <si>
    <t>echipament de maturat si aspirat suprafetele de parcare</t>
  </si>
  <si>
    <t>brat excavator pentru echipamentul Multione</t>
  </si>
  <si>
    <t>autolift pentru imbarcare PRM 1 buc</t>
  </si>
  <si>
    <t>banc mobil pt intretinere si mentenanta</t>
  </si>
  <si>
    <t>autoutilitara 3,5 t 1 buc</t>
  </si>
  <si>
    <t>set echipamente pentru reparatii fisuri dale</t>
  </si>
  <si>
    <t>reparatie capitala instalatie de climatizare aerogara plecari</t>
  </si>
  <si>
    <t>reparatie capitala bloc militari sc B et 2</t>
  </si>
  <si>
    <t>PT reparatii dale izolate la pista de aterizare-decolare, cale de rulare si platforma B (suprafete de miscare)</t>
  </si>
  <si>
    <t>Ungrade proiect balizaj si marcaje pista + cai de rulare+buzunare de intoarcere+platforme cu conformare la noile cerinte de marcare</t>
  </si>
  <si>
    <t>expertiza tehnica de evaluare statie de epurare si separator produse petrolier</t>
  </si>
  <si>
    <t>echipament de intretinere suprafete inierbate</t>
  </si>
  <si>
    <t>rezervor de combustibil suprateran cu instalatie de pompare</t>
  </si>
  <si>
    <t>maturator de zapada pt tractoare universale inclusiv perie</t>
  </si>
  <si>
    <t>aparate de respirat individual si de protectie PSI  4 buc</t>
  </si>
  <si>
    <t>Prevederi /Realizat        2012</t>
  </si>
  <si>
    <t>Propuneri 2013</t>
  </si>
  <si>
    <t>Realizat/     Preliminat 2012</t>
  </si>
  <si>
    <t>Prevederi 2011</t>
  </si>
  <si>
    <t>Prevederi 2012</t>
  </si>
  <si>
    <t>g</t>
  </si>
  <si>
    <t>h</t>
  </si>
  <si>
    <t>8=5/4</t>
  </si>
  <si>
    <t>Estimat 2014</t>
  </si>
  <si>
    <t>Estimat 2015</t>
  </si>
  <si>
    <t>an precedent 2012</t>
  </si>
  <si>
    <t>an curent 2013</t>
  </si>
  <si>
    <t>an 2014</t>
  </si>
  <si>
    <t>an 2015</t>
  </si>
  <si>
    <t>elaborare plan de management al faunei aeroportuare</t>
  </si>
  <si>
    <t>studiu de solutie pentru spor de putere in uzina electrica</t>
  </si>
  <si>
    <t>executie drum perimetral etapa II</t>
  </si>
  <si>
    <t>achizitie vidanja pt aeronave</t>
  </si>
  <si>
    <t>alimentator apa potabila pentru aeronave</t>
  </si>
  <si>
    <t>executie drum perimetral etapa III</t>
  </si>
  <si>
    <t>scari autopropulsate pt imbarcare/debarcare pasageri 2 buc</t>
  </si>
  <si>
    <t>proiect  sistem integrat de control 100% al bagajelor de cala HBS</t>
  </si>
  <si>
    <t>SF+PT hangar aeronave capacitate maxima A 320</t>
  </si>
  <si>
    <t>PT si detalii de executie reparatii capitale suprafete de miscare inclusiv instalatii aferente</t>
  </si>
  <si>
    <t>studiu de reevaluare capacitate portanta suprafete miscare</t>
  </si>
  <si>
    <t>SF+PT garaj echipamente intretinere suprafete de miscare</t>
  </si>
  <si>
    <t>studiu de amplasament pentru hangar aeronave, capacitate maxima A320, inclusiv studii de teren</t>
  </si>
  <si>
    <t>SF + PT aeronave capacitate maxima A320</t>
  </si>
  <si>
    <t>modernizare instalatie de balizaj de apropiere la cat I pe directia 25 si cat III pe directia 07</t>
  </si>
  <si>
    <t>reparatii capitale pista</t>
  </si>
  <si>
    <t>extindere/unificare platforme operare aeronave+cale de rulare in configuratie de degajare rapida cu racord la platforma</t>
  </si>
  <si>
    <t>Sold la 31.12.201</t>
  </si>
  <si>
    <t>Intrări 01.01 - 31.12. 2013</t>
  </si>
  <si>
    <t>Ieşiri 01.01 - 31.12. 2013</t>
  </si>
  <si>
    <t>Sold la 31.12.2013</t>
  </si>
  <si>
    <t>Sold la 31.12.2014</t>
  </si>
  <si>
    <t>Sold la 31.12.2015</t>
  </si>
  <si>
    <t>Valoarea anuală scadentă în anul 2013</t>
  </si>
  <si>
    <t>Valoarea anuală scadentă în anul 2015</t>
  </si>
  <si>
    <t>crestere venituri comerciale</t>
  </si>
  <si>
    <t>INDDICATORI</t>
  </si>
  <si>
    <t>Valoarea anuală scadentă în anul  2014</t>
  </si>
  <si>
    <t>ANEXA nr. 4 la HCJ nr.__________</t>
  </si>
  <si>
    <t>Repartizarea pe trimestre a indicatorilor economico- financiari</t>
  </si>
  <si>
    <t>Nr.Rd.</t>
  </si>
  <si>
    <t>Propuneri an curent (N)</t>
  </si>
  <si>
    <t>Trim.I</t>
  </si>
  <si>
    <t>Trim.II</t>
  </si>
  <si>
    <t>Trim.III</t>
  </si>
  <si>
    <t>Trim.IV</t>
  </si>
  <si>
    <t>VENITURI TOTALE (Rd.2 + Rd.23 + Rd.29)</t>
  </si>
  <si>
    <t>din producţia vândută (Rd.4 +Rd.5 + Rd.6 + Rd.7), din care:</t>
  </si>
  <si>
    <t>din subvenţii şi transferuri de exploatare aferente cifrei de afaceri nete(Rd.10 + Rd.11+ Rd.12), din care:</t>
  </si>
  <si>
    <t>transferuri,cf.prevederilor legale în vigoare</t>
  </si>
  <si>
    <t>din producţia de  imobilizări</t>
  </si>
  <si>
    <t>alte venituri din exploatare                                        (Rd.16+Rd.17+Rd.20+ Rd.21+ Rd.22), din care:</t>
  </si>
  <si>
    <t>alte valorificarea certificatelor CO2</t>
  </si>
  <si>
    <t>f5)</t>
  </si>
  <si>
    <t>Venituri financiare (Rd.24+Rd.25+ Rd.26 + Rd.27+Rd.28), din care:</t>
  </si>
  <si>
    <t>din investiţii financiare</t>
  </si>
  <si>
    <t xml:space="preserve">din dobânzi </t>
  </si>
  <si>
    <t>CHELTUIELI TOTALE (Rd.31+ Rd.131+ Rd.139)</t>
  </si>
  <si>
    <t>Cheltuieli de exploatare (Rd.32+Rd.80+Rd.87+Rd.116), din care:</t>
  </si>
  <si>
    <t>A. Cheltuieli cu bunuri şi servicii (Rd.33+Rd.41+Rd.47), din care:</t>
  </si>
  <si>
    <t>Cheltuieli privind stocurile</t>
  </si>
  <si>
    <t>Cheltuieli cu materiile prime</t>
  </si>
  <si>
    <t>Cheltuieli cu materialele consumabile, din care:</t>
  </si>
  <si>
    <t>cheltuieli cu combustibili</t>
  </si>
  <si>
    <t>Cheltuieli privind cu materialele de natura obiectelor de inventar</t>
  </si>
  <si>
    <t>Cheltuieli privind energia şi apa</t>
  </si>
  <si>
    <t>Cheltuieli privind mărfurile</t>
  </si>
  <si>
    <t>Cheltuieli privind serviciile executate de terţi (Rd.42+Rd.43+ Rd.46), din care:</t>
  </si>
  <si>
    <t>Cheltuieli privind chiriile (Rd.44+Rd.45),din care:</t>
  </si>
  <si>
    <t>Cheltuieli privind serviciile executate de terţi (Rd.49+Rd.51+ Rd.58 + Rd.63+Rd.64+Rd.68+Rd.69+Rd.70+Rd.79), din care:</t>
  </si>
  <si>
    <t xml:space="preserve">cheltuieli privind consultaţia juridică </t>
  </si>
  <si>
    <t>cheltuieli de protocol, reclamă şi publicitate (Rd.52+Rd.54), din care:</t>
  </si>
  <si>
    <t>cheltuieli de protocol,din care:</t>
  </si>
  <si>
    <t>- tichete cadou potrivit Legii nr.193/2006, cu modificăriile şi  completarile ulterioare</t>
  </si>
  <si>
    <t>cheltuieli de reclamă şi  publicitate, din care:</t>
  </si>
  <si>
    <t>- tichete cadou ptr.reclamă şi publicitate potrivit Legii nr.193/2006, cu modificăriile şi  completarile ulterioare</t>
  </si>
  <si>
    <t>- tichete cadou ptr.campanii de marketing, studiul pieţei, promovarea pe pieţe existente sau noi, potrivit Legii nr.193/2006, cu modificăriile E79 completarile ulterioare</t>
  </si>
  <si>
    <t>- ch.de promovare a produselor</t>
  </si>
  <si>
    <t>cheltuieli cu sponsorizarea (Rd.59+Rd.60+Rd.61+Rd.62), din care:</t>
  </si>
  <si>
    <t>ch.cu sponsorizare a cluburilor sportive</t>
  </si>
  <si>
    <t>ch.cu sponsorizare a unităţilor de cult</t>
  </si>
  <si>
    <t>cheltuieli de deplasare,detaşare, transfer, din care:</t>
  </si>
  <si>
    <t>-cheltuieli cu diurna (Rd.66+Rd.67),din care:</t>
  </si>
  <si>
    <t>-internă</t>
  </si>
  <si>
    <t>-externă</t>
  </si>
  <si>
    <t xml:space="preserve">cheltuieli cu pregătirea profesională </t>
  </si>
  <si>
    <t>cheltuieli cu reevaluarea imobilizărilor corporale şi necorporale din care:</t>
  </si>
  <si>
    <t>cheltuieli privind recrutarea şi plasarea personalului de conducere conform Ordonanţei de Urgenţă  a Guvernului nr.109/2011</t>
  </si>
  <si>
    <t>cheltuieli cu reevaluarea imobilizărilor corporale şi necorporale</t>
  </si>
  <si>
    <t>B.</t>
  </si>
  <si>
    <t>Cheltuietuieli cu impozite, taxe şi vărsăminte asimilate(Rd.81+Rd.82+Rd.83+Rd.84+Rd.85+Rd.86), din care:</t>
  </si>
  <si>
    <t>ch.cu redevenţa pt.activitatea de exploatare a resurselor minerale</t>
  </si>
  <si>
    <t>ch.cu alte taxe şi impozite</t>
  </si>
  <si>
    <t>Cheltuietuieli cu personalul  (Rd.88+Rd.92+Rd.100+Rd.104+Rd.109), din care:</t>
  </si>
  <si>
    <t>C1)</t>
  </si>
  <si>
    <t>Cheltuieli cu salariile (Rd.89+Rd.90+Rd.91), din care:</t>
  </si>
  <si>
    <t>b) sporuri, prime şi alte bonificaţii aferente salariului de bază(conform CCM)</t>
  </si>
  <si>
    <t>c) alte bonificaţii (conform CCM)</t>
  </si>
  <si>
    <t>C2)</t>
  </si>
  <si>
    <t>Bonusuri (Rd.93+Rd.96+Rd.97+Rd.98+Rd.99), din care:</t>
  </si>
  <si>
    <t>- tichete de creşă, cf. Legiinr.193/2006, cu modificăriile şi completările ulterioare;</t>
  </si>
  <si>
    <t>- tichete cadou pentru cheltuieli sociale potrivit. Legii nr.193/2006, cu modificăriile şi completările ulterioare;</t>
  </si>
  <si>
    <t>b) tichete de masă;</t>
  </si>
  <si>
    <t>d) ch.privind participarea salarilţiilor la profitul obţinut în anul precedent</t>
  </si>
  <si>
    <t>e) alte cheltuieli conform CCM.</t>
  </si>
  <si>
    <t>C3)</t>
  </si>
  <si>
    <t>Alte cheltuieli cu personalul (Rd.101+Rd.102+Rd.103), din care:</t>
  </si>
  <si>
    <t>b) cheltuieli de natură salarială aferente restructurării, privatizării, administrator special, alte comisii şi comitete</t>
  </si>
  <si>
    <t>C4)</t>
  </si>
  <si>
    <t>Cheltuieli aferente contractului de mandat şi a altor organe de conducere şi control, comisii şi comitete</t>
  </si>
  <si>
    <t>a) pentru director/ directorat</t>
  </si>
  <si>
    <t>b) pentru consiliul de administraţie/consiliul de supraveghere</t>
  </si>
  <si>
    <t>C5)</t>
  </si>
  <si>
    <t>Cheltuieli cu asigurările şi protecţia socială, fondurile speciale şi alte obligaţii legale(Rd.110+Rd.111+Rd.112+Rd.113+Rd.114+Rd.115), din care:</t>
  </si>
  <si>
    <t>a) ch.privind contribuţia la asigurări sociale</t>
  </si>
  <si>
    <t>b) ch.privind contribuţia la asigurări ptr.şomaj</t>
  </si>
  <si>
    <t>c) ch.privind contribuţia la asigurări sociale de sănătate</t>
  </si>
  <si>
    <t>d) ch.privind contribuţiile la fondurile speciale aferente fondului de salarii</t>
  </si>
  <si>
    <t>e) ch.privind contribuţia unităţii la schemele de pensii</t>
  </si>
  <si>
    <t>f) cheltuieli privind alte contribuţii şi fonduri speciale</t>
  </si>
  <si>
    <t>Alte cheltuieli de exploatare (Rd.117+Rd.120+Rd.121+Rd.122+Rd.123+Rd.124), din care:</t>
  </si>
  <si>
    <t>cheltuieli cu majorări şi penalităţi (Rd.118+Rd.119), din care:</t>
  </si>
  <si>
    <t>ajustări şi deprecieri pentru pierdere de valoare şi provizioane(Rd.125+Rd.126), din care:</t>
  </si>
  <si>
    <t>din anularea provizioanelor (Rd.128+Rd.129+Rd.130), din care:</t>
  </si>
  <si>
    <t>Cheltuieli financiare (Rd.132+Rd.135+Rd.138),din care:</t>
  </si>
  <si>
    <t>cheltuieli privind dobânzile(Rd.133+Rd.134), din care:</t>
  </si>
  <si>
    <t>aferente creditelor pentru investiţii</t>
  </si>
  <si>
    <t>cheltuieli din diferenţe de curs valutar (Rd.136+Rd.137), din care:</t>
  </si>
  <si>
    <t>REZULTATUL BRUT(profit/pierdere) (Rd.1 - Rd.30)</t>
  </si>
  <si>
    <t>cheltuieli nedeductibile fiscal</t>
  </si>
  <si>
    <t>Influenţe       (+/-)</t>
  </si>
  <si>
    <t>Influenţe      (+/-)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</si>
</sst>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b/>
      <sz val="9"/>
      <name val="Tahoma"/>
      <family val="2"/>
    </font>
    <font>
      <b/>
      <sz val="9"/>
      <name val="Arial"/>
      <family val="2"/>
    </font>
    <font>
      <b/>
      <sz val="11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53"/>
      <name val="Arial"/>
      <family val="0"/>
    </font>
    <font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right" vertical="center"/>
    </xf>
    <xf numFmtId="10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1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vertical="center" wrapText="1"/>
    </xf>
    <xf numFmtId="0" fontId="1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0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9" fontId="4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1" fontId="14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3" fontId="1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0" fontId="2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3" fontId="2" fillId="0" borderId="3" xfId="0" applyNumberFormat="1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8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0" fontId="7" fillId="0" borderId="2" xfId="0" applyNumberFormat="1" applyFont="1" applyFill="1" applyBorder="1" applyAlignment="1">
      <alignment vertical="center"/>
    </xf>
    <xf numFmtId="10" fontId="7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0" fontId="2" fillId="0" borderId="2" xfId="0" applyNumberFormat="1" applyFont="1" applyFill="1" applyBorder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10" fontId="1" fillId="0" borderId="2" xfId="0" applyNumberFormat="1" applyFont="1" applyFill="1" applyBorder="1" applyAlignment="1">
      <alignment/>
    </xf>
    <xf numFmtId="10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0" fontId="2" fillId="0" borderId="2" xfId="0" applyNumberFormat="1" applyFont="1" applyFill="1" applyBorder="1" applyAlignment="1">
      <alignment/>
    </xf>
    <xf numFmtId="10" fontId="2" fillId="0" borderId="4" xfId="0" applyNumberFormat="1" applyFont="1" applyBorder="1" applyAlignment="1">
      <alignment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10" fontId="6" fillId="0" borderId="2" xfId="0" applyNumberFormat="1" applyFont="1" applyFill="1" applyBorder="1" applyAlignment="1">
      <alignment/>
    </xf>
    <xf numFmtId="10" fontId="6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2" xfId="0" applyNumberFormat="1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9" fontId="6" fillId="0" borderId="1" xfId="0" applyNumberFormat="1" applyFont="1" applyBorder="1" applyAlignment="1">
      <alignment wrapText="1"/>
    </xf>
    <xf numFmtId="3" fontId="6" fillId="0" borderId="4" xfId="0" applyNumberFormat="1" applyFont="1" applyBorder="1" applyAlignment="1">
      <alignment/>
    </xf>
    <xf numFmtId="10" fontId="12" fillId="0" borderId="2" xfId="0" applyNumberFormat="1" applyFont="1" applyFill="1" applyBorder="1" applyAlignment="1">
      <alignment horizontal="right"/>
    </xf>
    <xf numFmtId="10" fontId="1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2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10" fillId="0" borderId="4" xfId="0" applyFont="1" applyBorder="1" applyAlignment="1">
      <alignment horizontal="left"/>
    </xf>
    <xf numFmtId="49" fontId="0" fillId="0" borderId="7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49" fontId="10" fillId="0" borderId="6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horizontal="left" wrapText="1"/>
    </xf>
    <xf numFmtId="49" fontId="11" fillId="0" borderId="2" xfId="0" applyNumberFormat="1" applyFont="1" applyBorder="1" applyAlignment="1">
      <alignment wrapText="1"/>
    </xf>
    <xf numFmtId="49" fontId="11" fillId="0" borderId="4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0" fillId="0" borderId="6" xfId="0" applyBorder="1" applyAlignment="1">
      <alignment/>
    </xf>
    <xf numFmtId="0" fontId="1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9" fontId="11" fillId="0" borderId="2" xfId="0" applyNumberFormat="1" applyFont="1" applyBorder="1" applyAlignment="1">
      <alignment wrapText="1"/>
    </xf>
    <xf numFmtId="49" fontId="11" fillId="0" borderId="4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9" fontId="17" fillId="0" borderId="3" xfId="0" applyNumberFormat="1" applyFont="1" applyBorder="1" applyAlignment="1">
      <alignment horizontal="right" vertical="center" wrapText="1"/>
    </xf>
    <xf numFmtId="49" fontId="17" fillId="0" borderId="13" xfId="0" applyNumberFormat="1" applyFont="1" applyBorder="1" applyAlignment="1">
      <alignment horizontal="right" vertical="center" wrapText="1"/>
    </xf>
    <xf numFmtId="49" fontId="17" fillId="0" borderId="6" xfId="0" applyNumberFormat="1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49" fontId="10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3" fontId="18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1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2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 vertical="center" wrapText="1"/>
    </xf>
    <xf numFmtId="3" fontId="22" fillId="0" borderId="1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22" fillId="0" borderId="1" xfId="0" applyNumberFormat="1" applyFont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/>
    </xf>
    <xf numFmtId="3" fontId="22" fillId="0" borderId="1" xfId="0" applyNumberFormat="1" applyFont="1" applyFill="1" applyBorder="1" applyAlignment="1">
      <alignment/>
    </xf>
    <xf numFmtId="3" fontId="21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 wrapText="1"/>
    </xf>
    <xf numFmtId="3" fontId="21" fillId="0" borderId="1" xfId="0" applyNumberFormat="1" applyFont="1" applyBorder="1" applyAlignment="1">
      <alignment wrapText="1"/>
    </xf>
    <xf numFmtId="3" fontId="22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wrapText="1"/>
    </xf>
    <xf numFmtId="3" fontId="2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15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G75"/>
  <sheetViews>
    <sheetView workbookViewId="0" topLeftCell="A1">
      <selection activeCell="L2" sqref="L2:W2"/>
    </sheetView>
  </sheetViews>
  <sheetFormatPr defaultColWidth="9.140625" defaultRowHeight="12.75"/>
  <cols>
    <col min="1" max="1" width="4.00390625" style="1" customWidth="1"/>
    <col min="2" max="2" width="3.00390625" style="1" customWidth="1"/>
    <col min="3" max="3" width="3.421875" style="1" customWidth="1"/>
    <col min="4" max="5" width="5.28125" style="1" customWidth="1"/>
    <col min="6" max="6" width="23.8515625" style="2" customWidth="1"/>
    <col min="7" max="7" width="4.28125" style="3" customWidth="1"/>
    <col min="8" max="8" width="10.140625" style="2" customWidth="1"/>
    <col min="9" max="9" width="9.7109375" style="2" customWidth="1"/>
    <col min="10" max="10" width="8.140625" style="2" hidden="1" customWidth="1"/>
    <col min="11" max="11" width="6.140625" style="2" hidden="1" customWidth="1"/>
    <col min="12" max="12" width="7.00390625" style="170" customWidth="1"/>
    <col min="13" max="13" width="9.00390625" style="2" customWidth="1"/>
    <col min="14" max="14" width="9.28125" style="11" customWidth="1"/>
    <col min="15" max="15" width="3.00390625" style="1" hidden="1" customWidth="1"/>
    <col min="16" max="18" width="7.00390625" style="1" hidden="1" customWidth="1"/>
    <col min="19" max="22" width="5.28125" style="1" hidden="1" customWidth="1"/>
    <col min="23" max="23" width="8.57421875" style="1" customWidth="1"/>
    <col min="24" max="16384" width="9.140625" style="1" customWidth="1"/>
  </cols>
  <sheetData>
    <row r="2" spans="10:16" ht="12.75">
      <c r="J2" s="4" t="s">
        <v>0</v>
      </c>
      <c r="K2" s="5"/>
      <c r="L2" s="4" t="s">
        <v>0</v>
      </c>
      <c r="M2" s="5"/>
      <c r="N2"/>
      <c r="O2" s="49"/>
      <c r="P2" s="49"/>
    </row>
    <row r="3" spans="6:14" s="7" customFormat="1" ht="12.75">
      <c r="F3" s="8"/>
      <c r="G3" s="9"/>
      <c r="H3" s="8"/>
      <c r="I3" s="8"/>
      <c r="J3" s="8"/>
      <c r="K3" s="8"/>
      <c r="L3" s="169"/>
      <c r="M3" s="8"/>
      <c r="N3" s="10"/>
    </row>
    <row r="5" spans="4:14" ht="15" customHeight="1">
      <c r="D5" s="206" t="s">
        <v>1</v>
      </c>
      <c r="E5" s="206"/>
      <c r="F5" s="206"/>
      <c r="G5" s="206"/>
      <c r="H5" s="206"/>
      <c r="I5" s="206"/>
      <c r="J5" s="206"/>
      <c r="K5" s="206"/>
      <c r="L5" s="206"/>
      <c r="M5" s="164"/>
      <c r="N5" s="164"/>
    </row>
    <row r="6" spans="6:22" ht="14.25">
      <c r="F6" s="12"/>
      <c r="V6" s="7" t="s">
        <v>86</v>
      </c>
    </row>
    <row r="7" spans="1:22" ht="12.75" customHeight="1">
      <c r="A7" s="207" t="s">
        <v>279</v>
      </c>
      <c r="B7" s="208"/>
      <c r="C7" s="208"/>
      <c r="D7" s="208"/>
      <c r="E7" s="208"/>
      <c r="F7" s="209"/>
      <c r="G7" s="213"/>
      <c r="H7" s="200" t="s">
        <v>441</v>
      </c>
      <c r="I7" s="202" t="s">
        <v>440</v>
      </c>
      <c r="J7" s="214" t="s">
        <v>2</v>
      </c>
      <c r="K7" s="195"/>
      <c r="L7" s="196" t="s">
        <v>3</v>
      </c>
      <c r="M7" s="200" t="s">
        <v>447</v>
      </c>
      <c r="N7" s="202" t="s">
        <v>448</v>
      </c>
      <c r="O7" s="203" t="s">
        <v>90</v>
      </c>
      <c r="P7" s="204"/>
      <c r="Q7" s="204"/>
      <c r="R7" s="204"/>
      <c r="S7" s="204"/>
      <c r="T7" s="204"/>
      <c r="U7" s="204"/>
      <c r="V7" s="205"/>
    </row>
    <row r="8" spans="1:22" ht="39" customHeight="1">
      <c r="A8" s="210"/>
      <c r="B8" s="211"/>
      <c r="C8" s="211"/>
      <c r="D8" s="211"/>
      <c r="E8" s="211"/>
      <c r="F8" s="212"/>
      <c r="G8" s="213"/>
      <c r="H8" s="201"/>
      <c r="I8" s="202"/>
      <c r="J8" s="167" t="s">
        <v>4</v>
      </c>
      <c r="K8" s="167" t="s">
        <v>5</v>
      </c>
      <c r="L8" s="196"/>
      <c r="M8" s="201"/>
      <c r="N8" s="202"/>
      <c r="O8" s="168" t="s">
        <v>342</v>
      </c>
      <c r="P8" s="168" t="s">
        <v>343</v>
      </c>
      <c r="Q8" s="168" t="s">
        <v>344</v>
      </c>
      <c r="R8" s="168" t="s">
        <v>345</v>
      </c>
      <c r="S8" s="168" t="s">
        <v>346</v>
      </c>
      <c r="T8" s="168" t="s">
        <v>369</v>
      </c>
      <c r="U8" s="168" t="s">
        <v>444</v>
      </c>
      <c r="V8" s="168" t="s">
        <v>445</v>
      </c>
    </row>
    <row r="9" spans="1:22" s="166" customFormat="1" ht="12.75">
      <c r="A9" s="17">
        <v>0</v>
      </c>
      <c r="B9" s="197" t="s">
        <v>6</v>
      </c>
      <c r="C9" s="198"/>
      <c r="D9" s="193">
        <v>2</v>
      </c>
      <c r="E9" s="194"/>
      <c r="F9" s="188"/>
      <c r="G9" s="17">
        <v>3</v>
      </c>
      <c r="H9" s="17">
        <v>4</v>
      </c>
      <c r="I9" s="165">
        <v>5</v>
      </c>
      <c r="J9" s="165">
        <v>6</v>
      </c>
      <c r="K9" s="165">
        <v>7</v>
      </c>
      <c r="L9" s="171" t="s">
        <v>446</v>
      </c>
      <c r="M9" s="17">
        <v>9</v>
      </c>
      <c r="N9" s="165">
        <v>10</v>
      </c>
      <c r="O9" s="165">
        <v>11</v>
      </c>
      <c r="P9" s="165">
        <v>12</v>
      </c>
      <c r="Q9" s="165">
        <v>13</v>
      </c>
      <c r="R9" s="165">
        <v>14</v>
      </c>
      <c r="S9" s="165">
        <v>15</v>
      </c>
      <c r="T9" s="165">
        <v>16</v>
      </c>
      <c r="U9" s="165">
        <v>17</v>
      </c>
      <c r="V9" s="165">
        <v>18</v>
      </c>
    </row>
    <row r="10" spans="1:22" s="22" customFormat="1" ht="36" customHeight="1">
      <c r="A10" s="18" t="s">
        <v>7</v>
      </c>
      <c r="B10" s="19"/>
      <c r="C10" s="19"/>
      <c r="D10" s="189" t="s">
        <v>8</v>
      </c>
      <c r="E10" s="190"/>
      <c r="F10" s="191"/>
      <c r="G10" s="20">
        <v>1</v>
      </c>
      <c r="H10" s="21">
        <f>H11+H12+H13</f>
        <v>10852</v>
      </c>
      <c r="I10" s="21">
        <v>11115</v>
      </c>
      <c r="J10" s="21">
        <f>J11+J12+J13</f>
        <v>12218</v>
      </c>
      <c r="K10" s="21">
        <f>K11+K12+K13</f>
        <v>2898</v>
      </c>
      <c r="L10" s="172">
        <f>I10/H10</f>
        <v>1.0242351640250644</v>
      </c>
      <c r="M10" s="21">
        <f>M11+M12+M13</f>
        <v>19651.449999999997</v>
      </c>
      <c r="N10" s="21">
        <f>N11+N12+N13</f>
        <v>24186.4</v>
      </c>
      <c r="O10" s="21">
        <f>O11+O12+O13</f>
        <v>0</v>
      </c>
      <c r="P10" s="21">
        <f aca="true" t="shared" si="0" ref="P10:V10">P11+P12+P13</f>
        <v>1366.6699999999998</v>
      </c>
      <c r="Q10" s="21">
        <f t="shared" si="0"/>
        <v>3230.5</v>
      </c>
      <c r="R10" s="21">
        <f t="shared" si="0"/>
        <v>40.03</v>
      </c>
      <c r="S10" s="21">
        <f t="shared" si="0"/>
        <v>0</v>
      </c>
      <c r="T10" s="21">
        <f t="shared" si="0"/>
        <v>12.72</v>
      </c>
      <c r="U10" s="21">
        <f t="shared" si="0"/>
        <v>12.72</v>
      </c>
      <c r="V10" s="21">
        <f t="shared" si="0"/>
        <v>6.36</v>
      </c>
    </row>
    <row r="11" spans="1:22" ht="31.5" customHeight="1">
      <c r="A11" s="23"/>
      <c r="B11" s="23">
        <v>1</v>
      </c>
      <c r="C11" s="23"/>
      <c r="D11" s="192" t="s">
        <v>9</v>
      </c>
      <c r="E11" s="186"/>
      <c r="F11" s="186"/>
      <c r="G11" s="24">
        <v>2</v>
      </c>
      <c r="H11" s="25">
        <f>10245</f>
        <v>10245</v>
      </c>
      <c r="I11" s="25">
        <f aca="true" t="shared" si="1" ref="I10:I55">J11+K11</f>
        <v>14059</v>
      </c>
      <c r="J11" s="25">
        <v>11552</v>
      </c>
      <c r="K11" s="25">
        <f>2472+35</f>
        <v>2507</v>
      </c>
      <c r="L11" s="172">
        <f aca="true" t="shared" si="2" ref="L11:L64">I11/H11</f>
        <v>1.3722791605661298</v>
      </c>
      <c r="M11" s="25">
        <f>14059.5*130/100</f>
        <v>18277.35</v>
      </c>
      <c r="N11" s="25">
        <f>14059.5*160/100</f>
        <v>22495.2</v>
      </c>
      <c r="O11" s="25">
        <v>0</v>
      </c>
      <c r="P11" s="25">
        <f>4003*29/100</f>
        <v>1160.87</v>
      </c>
      <c r="Q11" s="25">
        <f>4003*70/100</f>
        <v>2802.1</v>
      </c>
      <c r="R11" s="25">
        <f>4003*1/100</f>
        <v>40.03</v>
      </c>
      <c r="S11" s="25">
        <v>0</v>
      </c>
      <c r="T11" s="25">
        <v>0</v>
      </c>
      <c r="U11" s="25">
        <v>0</v>
      </c>
      <c r="V11" s="25">
        <v>0</v>
      </c>
    </row>
    <row r="12" spans="1:22" ht="12.75" customHeight="1">
      <c r="A12" s="23"/>
      <c r="B12" s="23">
        <v>2</v>
      </c>
      <c r="C12" s="23"/>
      <c r="D12" s="192" t="s">
        <v>10</v>
      </c>
      <c r="E12" s="186"/>
      <c r="F12" s="186"/>
      <c r="G12" s="26" t="s">
        <v>11</v>
      </c>
      <c r="H12" s="27">
        <v>66</v>
      </c>
      <c r="I12" s="27">
        <f t="shared" si="1"/>
        <v>50</v>
      </c>
      <c r="J12" s="27">
        <v>30</v>
      </c>
      <c r="K12" s="27">
        <v>20</v>
      </c>
      <c r="L12" s="173">
        <f t="shared" si="2"/>
        <v>0.7575757575757576</v>
      </c>
      <c r="M12" s="25">
        <f>I12*130/100</f>
        <v>65</v>
      </c>
      <c r="N12" s="25">
        <f>I12*160/100</f>
        <v>80</v>
      </c>
      <c r="O12" s="25">
        <v>0</v>
      </c>
      <c r="P12" s="25">
        <f>J12*50/100</f>
        <v>15</v>
      </c>
      <c r="Q12" s="25">
        <f>J12*50/100</f>
        <v>15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</row>
    <row r="13" spans="1:111" ht="12.75" customHeight="1">
      <c r="A13" s="23"/>
      <c r="B13" s="23">
        <v>3</v>
      </c>
      <c r="C13" s="23"/>
      <c r="D13" s="192" t="s">
        <v>12</v>
      </c>
      <c r="E13" s="186"/>
      <c r="F13" s="186"/>
      <c r="G13" s="24">
        <v>4</v>
      </c>
      <c r="H13" s="25">
        <v>541</v>
      </c>
      <c r="I13" s="25">
        <f t="shared" si="1"/>
        <v>1007</v>
      </c>
      <c r="J13" s="25">
        <v>636</v>
      </c>
      <c r="K13" s="25">
        <v>371</v>
      </c>
      <c r="L13" s="173">
        <f t="shared" si="2"/>
        <v>1.8613678373382625</v>
      </c>
      <c r="M13" s="25">
        <f>I13*130/100</f>
        <v>1309.1</v>
      </c>
      <c r="N13" s="25">
        <f>I13*160/100</f>
        <v>1611.2</v>
      </c>
      <c r="O13" s="25">
        <v>0</v>
      </c>
      <c r="P13" s="25">
        <f>J13*30/100</f>
        <v>190.8</v>
      </c>
      <c r="Q13" s="25">
        <f>J13*65/100</f>
        <v>413.4</v>
      </c>
      <c r="R13" s="25">
        <v>0</v>
      </c>
      <c r="S13" s="25">
        <v>0</v>
      </c>
      <c r="T13" s="25">
        <f>J13*2/100</f>
        <v>12.72</v>
      </c>
      <c r="U13" s="25">
        <f>J13*2/100</f>
        <v>12.72</v>
      </c>
      <c r="V13" s="25">
        <f>J13*1/100</f>
        <v>6.36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</row>
    <row r="14" spans="1:111" s="22" customFormat="1" ht="35.25" customHeight="1">
      <c r="A14" s="18" t="s">
        <v>13</v>
      </c>
      <c r="B14" s="18"/>
      <c r="C14" s="18"/>
      <c r="D14" s="187" t="s">
        <v>14</v>
      </c>
      <c r="E14" s="184"/>
      <c r="F14" s="184"/>
      <c r="G14" s="20">
        <v>5</v>
      </c>
      <c r="H14" s="21">
        <f>H15+H26+H27</f>
        <v>10852</v>
      </c>
      <c r="I14" s="21">
        <v>15064</v>
      </c>
      <c r="J14" s="21">
        <f>J15+J26+J27</f>
        <v>12287.4</v>
      </c>
      <c r="K14" s="21">
        <f aca="true" t="shared" si="3" ref="K14:U14">K15+K26+K27</f>
        <v>2779</v>
      </c>
      <c r="L14" s="172">
        <f t="shared" si="2"/>
        <v>1.3881312200516034</v>
      </c>
      <c r="M14" s="21">
        <f t="shared" si="3"/>
        <v>19586.32</v>
      </c>
      <c r="N14" s="21">
        <f t="shared" si="3"/>
        <v>24106.239999999998</v>
      </c>
      <c r="O14" s="21">
        <f t="shared" si="3"/>
        <v>0</v>
      </c>
      <c r="P14" s="21">
        <f t="shared" si="3"/>
        <v>4353.215</v>
      </c>
      <c r="Q14" s="21">
        <f t="shared" si="3"/>
        <v>4408.49</v>
      </c>
      <c r="R14" s="21">
        <f t="shared" si="3"/>
        <v>1511.907</v>
      </c>
      <c r="S14" s="21">
        <f t="shared" si="3"/>
        <v>403.578</v>
      </c>
      <c r="T14" s="21">
        <f t="shared" si="3"/>
        <v>673.5225</v>
      </c>
      <c r="U14" s="21">
        <f t="shared" si="3"/>
        <v>728.7975</v>
      </c>
      <c r="V14" s="21">
        <f>V15+V26+V27</f>
        <v>773.89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</row>
    <row r="15" spans="1:111" ht="30" customHeight="1">
      <c r="A15" s="23"/>
      <c r="B15" s="30">
        <v>1</v>
      </c>
      <c r="C15" s="23"/>
      <c r="D15" s="192" t="s">
        <v>15</v>
      </c>
      <c r="E15" s="186"/>
      <c r="F15" s="186"/>
      <c r="G15" s="24">
        <v>6</v>
      </c>
      <c r="H15" s="25">
        <f>H16+H17+H18+H25</f>
        <v>10800</v>
      </c>
      <c r="I15" s="25">
        <f t="shared" si="1"/>
        <v>15001.4</v>
      </c>
      <c r="J15" s="25">
        <f>J16+J17+J18+J25</f>
        <v>12247.4</v>
      </c>
      <c r="K15" s="25">
        <f>K16+K17+K18+K25</f>
        <v>2754</v>
      </c>
      <c r="L15" s="173">
        <f t="shared" si="2"/>
        <v>1.3890185185185184</v>
      </c>
      <c r="M15" s="25">
        <f>M16+M17+M18+M25</f>
        <v>19501.82</v>
      </c>
      <c r="N15" s="25">
        <f>N16+N17+N18+N25</f>
        <v>24002.239999999998</v>
      </c>
      <c r="O15" s="25">
        <f>O16+O17+O18+O25</f>
        <v>0</v>
      </c>
      <c r="P15" s="25">
        <f aca="true" t="shared" si="4" ref="P15:U15">P16+P17+P18+P25+312</f>
        <v>4333.215</v>
      </c>
      <c r="Q15" s="25">
        <f t="shared" si="4"/>
        <v>4388.49</v>
      </c>
      <c r="R15" s="25">
        <f t="shared" si="4"/>
        <v>1511.907</v>
      </c>
      <c r="S15" s="25">
        <f t="shared" si="4"/>
        <v>403.578</v>
      </c>
      <c r="T15" s="25">
        <f t="shared" si="4"/>
        <v>673.5225</v>
      </c>
      <c r="U15" s="25">
        <f t="shared" si="4"/>
        <v>728.7975</v>
      </c>
      <c r="V15" s="25">
        <f>V16+V17+V18+V25+316</f>
        <v>773.89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</row>
    <row r="16" spans="1:111" ht="30" customHeight="1">
      <c r="A16" s="23"/>
      <c r="B16" s="30"/>
      <c r="C16" s="23" t="s">
        <v>16</v>
      </c>
      <c r="D16" s="192" t="s">
        <v>17</v>
      </c>
      <c r="E16" s="186"/>
      <c r="F16" s="186"/>
      <c r="G16" s="24">
        <v>7</v>
      </c>
      <c r="H16" s="25">
        <v>788</v>
      </c>
      <c r="I16" s="25">
        <f t="shared" si="1"/>
        <v>1521.5</v>
      </c>
      <c r="J16" s="25">
        <v>1105.5</v>
      </c>
      <c r="K16" s="25">
        <v>416</v>
      </c>
      <c r="L16" s="173">
        <f t="shared" si="2"/>
        <v>1.9308375634517767</v>
      </c>
      <c r="M16" s="25">
        <f>I16*130/100</f>
        <v>1977.95</v>
      </c>
      <c r="N16" s="25">
        <f>I16*160/100</f>
        <v>2434.4</v>
      </c>
      <c r="O16" s="25">
        <v>0</v>
      </c>
      <c r="P16" s="25">
        <f>J16*40/100</f>
        <v>442.2</v>
      </c>
      <c r="Q16" s="25">
        <f>J16*45/100</f>
        <v>497.475</v>
      </c>
      <c r="R16" s="25">
        <f>J16*10/100</f>
        <v>110.55</v>
      </c>
      <c r="S16" s="25">
        <v>0</v>
      </c>
      <c r="T16" s="25">
        <v>0</v>
      </c>
      <c r="U16" s="25">
        <f>J16*5/100</f>
        <v>55.275</v>
      </c>
      <c r="V16" s="25">
        <v>0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</row>
    <row r="17" spans="1:111" ht="30" customHeight="1">
      <c r="A17" s="23"/>
      <c r="B17" s="30">
        <v>3</v>
      </c>
      <c r="C17" s="23" t="s">
        <v>18</v>
      </c>
      <c r="D17" s="192" t="s">
        <v>19</v>
      </c>
      <c r="E17" s="186"/>
      <c r="F17" s="186"/>
      <c r="G17" s="24">
        <v>8</v>
      </c>
      <c r="H17" s="25">
        <v>657</v>
      </c>
      <c r="I17" s="25">
        <f t="shared" si="1"/>
        <v>787.9</v>
      </c>
      <c r="J17" s="25">
        <v>668.9</v>
      </c>
      <c r="K17" s="25">
        <v>119</v>
      </c>
      <c r="L17" s="173">
        <f t="shared" si="2"/>
        <v>1.1992389649923896</v>
      </c>
      <c r="M17" s="25">
        <f>I17*130/100</f>
        <v>1024.27</v>
      </c>
      <c r="N17" s="25">
        <f>I17*160/100</f>
        <v>1260.64</v>
      </c>
      <c r="O17" s="25">
        <v>0</v>
      </c>
      <c r="P17" s="25">
        <f>J17*35/100</f>
        <v>234.115</v>
      </c>
      <c r="Q17" s="25">
        <f>J17*35/100</f>
        <v>234.115</v>
      </c>
      <c r="R17" s="25">
        <f>J17*13/100</f>
        <v>86.957</v>
      </c>
      <c r="S17" s="25">
        <f>J17*2/100</f>
        <v>13.378</v>
      </c>
      <c r="T17" s="25">
        <f>J17*2.5/100</f>
        <v>16.7225</v>
      </c>
      <c r="U17" s="25">
        <f>J17*2.5/100</f>
        <v>16.7225</v>
      </c>
      <c r="V17" s="25">
        <f>J17*10/100</f>
        <v>66.89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</row>
    <row r="18" spans="1:111" ht="25.5" customHeight="1">
      <c r="A18" s="23"/>
      <c r="B18" s="23"/>
      <c r="C18" s="185" t="s">
        <v>20</v>
      </c>
      <c r="D18" s="185"/>
      <c r="E18" s="192" t="s">
        <v>21</v>
      </c>
      <c r="F18" s="186"/>
      <c r="G18" s="24">
        <v>9</v>
      </c>
      <c r="H18" s="25">
        <f>H19+H20+H21+H22+H23+H24</f>
        <v>5040</v>
      </c>
      <c r="I18" s="25">
        <f t="shared" si="1"/>
        <v>5911</v>
      </c>
      <c r="J18" s="25">
        <f>J19+J20+J21+J22+J23+J24</f>
        <v>4941</v>
      </c>
      <c r="K18" s="25">
        <f aca="true" t="shared" si="5" ref="K18:V18">K19+K20+K21+K22+K23+K24</f>
        <v>970</v>
      </c>
      <c r="L18" s="173">
        <f t="shared" si="2"/>
        <v>1.1728174603174604</v>
      </c>
      <c r="M18" s="25">
        <f t="shared" si="5"/>
        <v>7684.299999999999</v>
      </c>
      <c r="N18" s="25">
        <f t="shared" si="5"/>
        <v>9457.6</v>
      </c>
      <c r="O18" s="25">
        <f t="shared" si="5"/>
        <v>0</v>
      </c>
      <c r="P18" s="25">
        <f t="shared" si="5"/>
        <v>1976.4</v>
      </c>
      <c r="Q18" s="25">
        <f t="shared" si="5"/>
        <v>1976.4</v>
      </c>
      <c r="R18" s="25">
        <f t="shared" si="5"/>
        <v>494.1</v>
      </c>
      <c r="S18" s="25">
        <f t="shared" si="5"/>
        <v>0</v>
      </c>
      <c r="T18" s="25">
        <f t="shared" si="5"/>
        <v>247.05</v>
      </c>
      <c r="U18" s="25">
        <f t="shared" si="5"/>
        <v>247.05</v>
      </c>
      <c r="V18" s="25">
        <f t="shared" si="5"/>
        <v>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</row>
    <row r="19" spans="1:111" ht="12.75">
      <c r="A19" s="23"/>
      <c r="B19" s="23"/>
      <c r="C19" s="23"/>
      <c r="D19" s="30" t="s">
        <v>22</v>
      </c>
      <c r="E19" s="183" t="s">
        <v>23</v>
      </c>
      <c r="F19" s="178"/>
      <c r="G19" s="24">
        <v>10</v>
      </c>
      <c r="H19" s="25">
        <v>3861.5</v>
      </c>
      <c r="I19" s="25">
        <f t="shared" si="1"/>
        <v>4063</v>
      </c>
      <c r="J19" s="25">
        <v>3315</v>
      </c>
      <c r="K19" s="25">
        <v>748</v>
      </c>
      <c r="L19" s="173">
        <f t="shared" si="2"/>
        <v>1.0521817946393888</v>
      </c>
      <c r="M19" s="25">
        <f>I19*130/100</f>
        <v>5281.9</v>
      </c>
      <c r="N19" s="25">
        <f aca="true" t="shared" si="6" ref="N19:N26">I19*160/100</f>
        <v>6500.8</v>
      </c>
      <c r="O19" s="25">
        <v>0</v>
      </c>
      <c r="P19" s="25">
        <f>J19*40/100</f>
        <v>1326</v>
      </c>
      <c r="Q19" s="25">
        <f aca="true" t="shared" si="7" ref="Q19:Q24">J19*40/100</f>
        <v>1326</v>
      </c>
      <c r="R19" s="25">
        <f aca="true" t="shared" si="8" ref="R19:R24">J19*10/100</f>
        <v>331.5</v>
      </c>
      <c r="S19" s="25">
        <v>0</v>
      </c>
      <c r="T19" s="25">
        <f aca="true" t="shared" si="9" ref="T19:T24">J19*5/100</f>
        <v>165.75</v>
      </c>
      <c r="U19" s="25">
        <f aca="true" t="shared" si="10" ref="U19:U24">J19*5/100</f>
        <v>165.75</v>
      </c>
      <c r="V19" s="25">
        <v>0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</row>
    <row r="20" spans="1:111" ht="12.75" customHeight="1" hidden="1">
      <c r="A20" s="23"/>
      <c r="B20" s="23"/>
      <c r="C20" s="23"/>
      <c r="D20" s="30" t="s">
        <v>24</v>
      </c>
      <c r="E20" s="183" t="s">
        <v>25</v>
      </c>
      <c r="F20" s="178"/>
      <c r="G20" s="24">
        <v>11</v>
      </c>
      <c r="H20" s="25">
        <v>0</v>
      </c>
      <c r="I20" s="25">
        <f t="shared" si="1"/>
        <v>0</v>
      </c>
      <c r="J20" s="25">
        <v>0</v>
      </c>
      <c r="K20" s="25">
        <v>0</v>
      </c>
      <c r="L20" s="173" t="e">
        <f t="shared" si="2"/>
        <v>#DIV/0!</v>
      </c>
      <c r="M20" s="25">
        <v>0</v>
      </c>
      <c r="N20" s="25">
        <f t="shared" si="6"/>
        <v>0</v>
      </c>
      <c r="O20" s="25"/>
      <c r="P20" s="25"/>
      <c r="Q20" s="25">
        <f t="shared" si="7"/>
        <v>0</v>
      </c>
      <c r="R20" s="25">
        <f t="shared" si="8"/>
        <v>0</v>
      </c>
      <c r="S20" s="25">
        <v>0</v>
      </c>
      <c r="T20" s="25">
        <f t="shared" si="9"/>
        <v>0</v>
      </c>
      <c r="U20" s="25">
        <f t="shared" si="10"/>
        <v>0</v>
      </c>
      <c r="V20" s="25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</row>
    <row r="21" spans="1:111" ht="25.5" customHeight="1" hidden="1">
      <c r="A21" s="23"/>
      <c r="B21" s="23"/>
      <c r="C21" s="23"/>
      <c r="D21" s="30" t="s">
        <v>26</v>
      </c>
      <c r="E21" s="183" t="s">
        <v>27</v>
      </c>
      <c r="F21" s="178"/>
      <c r="G21" s="24">
        <v>12</v>
      </c>
      <c r="H21" s="25">
        <f>H22</f>
        <v>0</v>
      </c>
      <c r="I21" s="25">
        <f t="shared" si="1"/>
        <v>0</v>
      </c>
      <c r="J21" s="25">
        <v>0</v>
      </c>
      <c r="K21" s="25">
        <v>0</v>
      </c>
      <c r="L21" s="173" t="e">
        <f t="shared" si="2"/>
        <v>#DIV/0!</v>
      </c>
      <c r="M21" s="25">
        <f>M22</f>
        <v>0</v>
      </c>
      <c r="N21" s="25">
        <f t="shared" si="6"/>
        <v>0</v>
      </c>
      <c r="O21" s="25"/>
      <c r="P21" s="25"/>
      <c r="Q21" s="25">
        <f t="shared" si="7"/>
        <v>0</v>
      </c>
      <c r="R21" s="25">
        <f t="shared" si="8"/>
        <v>0</v>
      </c>
      <c r="S21" s="25">
        <v>0</v>
      </c>
      <c r="T21" s="25">
        <f t="shared" si="9"/>
        <v>0</v>
      </c>
      <c r="U21" s="25">
        <f t="shared" si="10"/>
        <v>0</v>
      </c>
      <c r="V21" s="25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</row>
    <row r="22" spans="1:111" ht="37.5" customHeight="1" hidden="1">
      <c r="A22" s="23"/>
      <c r="B22" s="23"/>
      <c r="C22" s="23"/>
      <c r="D22" s="30"/>
      <c r="E22" s="183" t="s">
        <v>28</v>
      </c>
      <c r="F22" s="178"/>
      <c r="G22" s="24">
        <v>13</v>
      </c>
      <c r="H22" s="25">
        <v>0</v>
      </c>
      <c r="I22" s="25">
        <f t="shared" si="1"/>
        <v>0</v>
      </c>
      <c r="J22" s="25">
        <v>0</v>
      </c>
      <c r="K22" s="25">
        <v>0</v>
      </c>
      <c r="L22" s="173" t="e">
        <f t="shared" si="2"/>
        <v>#DIV/0!</v>
      </c>
      <c r="M22" s="25">
        <v>0</v>
      </c>
      <c r="N22" s="25">
        <f t="shared" si="6"/>
        <v>0</v>
      </c>
      <c r="O22" s="25"/>
      <c r="P22" s="25"/>
      <c r="Q22" s="25">
        <f t="shared" si="7"/>
        <v>0</v>
      </c>
      <c r="R22" s="25">
        <f t="shared" si="8"/>
        <v>0</v>
      </c>
      <c r="S22" s="25">
        <v>0</v>
      </c>
      <c r="T22" s="25">
        <f t="shared" si="9"/>
        <v>0</v>
      </c>
      <c r="U22" s="25">
        <f t="shared" si="10"/>
        <v>0</v>
      </c>
      <c r="V22" s="25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</row>
    <row r="23" spans="1:111" ht="31.5" customHeight="1" hidden="1">
      <c r="A23" s="23"/>
      <c r="B23" s="23"/>
      <c r="C23" s="23"/>
      <c r="D23" s="30" t="s">
        <v>29</v>
      </c>
      <c r="E23" s="183" t="s">
        <v>30</v>
      </c>
      <c r="F23" s="178"/>
      <c r="G23" s="24">
        <v>14</v>
      </c>
      <c r="H23" s="25">
        <v>0</v>
      </c>
      <c r="I23" s="25">
        <f t="shared" si="1"/>
        <v>0</v>
      </c>
      <c r="J23" s="25">
        <v>0</v>
      </c>
      <c r="K23" s="25">
        <v>0</v>
      </c>
      <c r="L23" s="173" t="e">
        <f t="shared" si="2"/>
        <v>#DIV/0!</v>
      </c>
      <c r="M23" s="25">
        <v>0</v>
      </c>
      <c r="N23" s="25">
        <f t="shared" si="6"/>
        <v>0</v>
      </c>
      <c r="O23" s="25"/>
      <c r="P23" s="25"/>
      <c r="Q23" s="25">
        <f t="shared" si="7"/>
        <v>0</v>
      </c>
      <c r="R23" s="25">
        <f t="shared" si="8"/>
        <v>0</v>
      </c>
      <c r="S23" s="25">
        <v>0</v>
      </c>
      <c r="T23" s="25">
        <f t="shared" si="9"/>
        <v>0</v>
      </c>
      <c r="U23" s="25">
        <f t="shared" si="10"/>
        <v>0</v>
      </c>
      <c r="V23" s="25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</row>
    <row r="24" spans="1:111" ht="56.25" customHeight="1">
      <c r="A24" s="23"/>
      <c r="B24" s="23"/>
      <c r="C24" s="23"/>
      <c r="D24" s="30" t="s">
        <v>31</v>
      </c>
      <c r="E24" s="215" t="s">
        <v>32</v>
      </c>
      <c r="F24" s="216"/>
      <c r="G24" s="24">
        <v>15</v>
      </c>
      <c r="H24" s="25">
        <v>1178.5</v>
      </c>
      <c r="I24" s="25">
        <f t="shared" si="1"/>
        <v>1848</v>
      </c>
      <c r="J24" s="25">
        <v>1626</v>
      </c>
      <c r="K24" s="25">
        <v>222</v>
      </c>
      <c r="L24" s="173">
        <f t="shared" si="2"/>
        <v>1.5680950360627917</v>
      </c>
      <c r="M24" s="25">
        <f>I24*130/100</f>
        <v>2402.4</v>
      </c>
      <c r="N24" s="25">
        <f t="shared" si="6"/>
        <v>2956.8</v>
      </c>
      <c r="O24" s="25">
        <v>0</v>
      </c>
      <c r="P24" s="25">
        <f>J24*40/100</f>
        <v>650.4</v>
      </c>
      <c r="Q24" s="25">
        <f t="shared" si="7"/>
        <v>650.4</v>
      </c>
      <c r="R24" s="25">
        <f t="shared" si="8"/>
        <v>162.6</v>
      </c>
      <c r="S24" s="25">
        <v>0</v>
      </c>
      <c r="T24" s="25">
        <f t="shared" si="9"/>
        <v>81.3</v>
      </c>
      <c r="U24" s="25">
        <f t="shared" si="10"/>
        <v>81.3</v>
      </c>
      <c r="V24" s="25">
        <v>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</row>
    <row r="25" spans="1:111" ht="32.25" customHeight="1">
      <c r="A25" s="23"/>
      <c r="B25" s="23"/>
      <c r="C25" s="23" t="s">
        <v>33</v>
      </c>
      <c r="D25" s="183" t="s">
        <v>34</v>
      </c>
      <c r="E25" s="183"/>
      <c r="F25" s="183"/>
      <c r="G25" s="24">
        <v>16</v>
      </c>
      <c r="H25" s="31">
        <v>4315</v>
      </c>
      <c r="I25" s="25">
        <f t="shared" si="1"/>
        <v>6781</v>
      </c>
      <c r="J25" s="31">
        <v>5532</v>
      </c>
      <c r="K25" s="31">
        <v>1249</v>
      </c>
      <c r="L25" s="173">
        <f t="shared" si="2"/>
        <v>1.571494785631518</v>
      </c>
      <c r="M25" s="31">
        <f>I25*130/100</f>
        <v>8815.3</v>
      </c>
      <c r="N25" s="25">
        <f t="shared" si="6"/>
        <v>10849.6</v>
      </c>
      <c r="O25" s="25">
        <v>0</v>
      </c>
      <c r="P25" s="25">
        <f>3910*35/100</f>
        <v>1368.5</v>
      </c>
      <c r="Q25" s="25">
        <f>3910*35/100</f>
        <v>1368.5</v>
      </c>
      <c r="R25" s="25">
        <f>3910*13/100</f>
        <v>508.3</v>
      </c>
      <c r="S25" s="25">
        <f>3910*2/100</f>
        <v>78.2</v>
      </c>
      <c r="T25" s="25">
        <f>3910*2.5/100</f>
        <v>97.75</v>
      </c>
      <c r="U25" s="25">
        <f>3910*2.5/100</f>
        <v>97.75</v>
      </c>
      <c r="V25" s="25">
        <f>3910*10/100</f>
        <v>391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</row>
    <row r="26" spans="1:111" ht="27.75" customHeight="1">
      <c r="A26" s="23"/>
      <c r="B26" s="23">
        <v>2</v>
      </c>
      <c r="C26" s="23"/>
      <c r="D26" s="183" t="s">
        <v>35</v>
      </c>
      <c r="E26" s="183"/>
      <c r="F26" s="183"/>
      <c r="G26" s="24">
        <v>17</v>
      </c>
      <c r="H26" s="25">
        <v>52</v>
      </c>
      <c r="I26" s="25">
        <f t="shared" si="1"/>
        <v>65</v>
      </c>
      <c r="J26" s="25">
        <v>40</v>
      </c>
      <c r="K26" s="25">
        <v>25</v>
      </c>
      <c r="L26" s="173">
        <f t="shared" si="2"/>
        <v>1.25</v>
      </c>
      <c r="M26" s="25">
        <f>I26*130/100</f>
        <v>84.5</v>
      </c>
      <c r="N26" s="25">
        <f t="shared" si="6"/>
        <v>104</v>
      </c>
      <c r="O26" s="25">
        <v>0</v>
      </c>
      <c r="P26" s="25">
        <v>20</v>
      </c>
      <c r="Q26" s="25">
        <v>20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</row>
    <row r="27" spans="1:111" ht="26.25" customHeight="1">
      <c r="A27" s="23"/>
      <c r="B27" s="23">
        <v>3</v>
      </c>
      <c r="C27" s="23"/>
      <c r="D27" s="183" t="s">
        <v>36</v>
      </c>
      <c r="E27" s="183"/>
      <c r="F27" s="183"/>
      <c r="G27" s="24">
        <v>18</v>
      </c>
      <c r="H27" s="25">
        <v>0</v>
      </c>
      <c r="I27" s="25">
        <f t="shared" si="1"/>
        <v>0</v>
      </c>
      <c r="J27" s="25">
        <v>0</v>
      </c>
      <c r="K27" s="25">
        <v>0</v>
      </c>
      <c r="L27" s="173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</row>
    <row r="28" spans="1:111" s="22" customFormat="1" ht="31.5" customHeight="1">
      <c r="A28" s="18" t="s">
        <v>37</v>
      </c>
      <c r="B28" s="18"/>
      <c r="C28" s="18"/>
      <c r="D28" s="217" t="s">
        <v>38</v>
      </c>
      <c r="E28" s="184"/>
      <c r="F28" s="184"/>
      <c r="G28" s="20">
        <v>19</v>
      </c>
      <c r="H28" s="21">
        <v>0</v>
      </c>
      <c r="I28" s="21">
        <f t="shared" si="1"/>
        <v>49.600000000000364</v>
      </c>
      <c r="J28" s="21">
        <f>J10-J14</f>
        <v>-69.39999999999964</v>
      </c>
      <c r="K28" s="21">
        <f aca="true" t="shared" si="11" ref="K28:V28">K10-K14</f>
        <v>119</v>
      </c>
      <c r="L28" s="173"/>
      <c r="M28" s="21">
        <f t="shared" si="11"/>
        <v>65.12999999999738</v>
      </c>
      <c r="N28" s="21">
        <f t="shared" si="11"/>
        <v>80.16000000000349</v>
      </c>
      <c r="O28" s="21">
        <f t="shared" si="11"/>
        <v>0</v>
      </c>
      <c r="P28" s="21">
        <f t="shared" si="11"/>
        <v>-2986.545</v>
      </c>
      <c r="Q28" s="21">
        <f t="shared" si="11"/>
        <v>-1177.9899999999998</v>
      </c>
      <c r="R28" s="21">
        <f t="shared" si="11"/>
        <v>-1471.877</v>
      </c>
      <c r="S28" s="21">
        <f t="shared" si="11"/>
        <v>-403.578</v>
      </c>
      <c r="T28" s="21">
        <f t="shared" si="11"/>
        <v>-660.8025</v>
      </c>
      <c r="U28" s="21">
        <f t="shared" si="11"/>
        <v>-716.0775</v>
      </c>
      <c r="V28" s="21">
        <f t="shared" si="11"/>
        <v>-767.53</v>
      </c>
      <c r="W28" s="19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</row>
    <row r="29" spans="1:111" s="22" customFormat="1" ht="30.75" customHeight="1">
      <c r="A29" s="18" t="s">
        <v>39</v>
      </c>
      <c r="B29" s="18"/>
      <c r="C29" s="18"/>
      <c r="D29" s="217" t="s">
        <v>40</v>
      </c>
      <c r="E29" s="184"/>
      <c r="F29" s="184"/>
      <c r="G29" s="20">
        <v>20</v>
      </c>
      <c r="H29" s="21">
        <v>0</v>
      </c>
      <c r="I29" s="21">
        <f>J29+K29</f>
        <v>8</v>
      </c>
      <c r="J29" s="21">
        <v>0</v>
      </c>
      <c r="K29" s="21">
        <v>8</v>
      </c>
      <c r="L29" s="173"/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</row>
    <row r="30" spans="1:111" s="22" customFormat="1" ht="52.5" customHeight="1">
      <c r="A30" s="32" t="s">
        <v>41</v>
      </c>
      <c r="B30" s="18"/>
      <c r="C30" s="18"/>
      <c r="D30" s="217" t="s">
        <v>42</v>
      </c>
      <c r="E30" s="184"/>
      <c r="F30" s="184"/>
      <c r="G30" s="20">
        <v>21</v>
      </c>
      <c r="H30" s="21">
        <f>H10-H14-H29</f>
        <v>0</v>
      </c>
      <c r="I30" s="21">
        <f t="shared" si="1"/>
        <v>41.600000000000364</v>
      </c>
      <c r="J30" s="21">
        <f>J10-J14-J29</f>
        <v>-69.39999999999964</v>
      </c>
      <c r="K30" s="21">
        <f aca="true" t="shared" si="12" ref="K30:V30">K10-K14-K29</f>
        <v>111</v>
      </c>
      <c r="L30" s="173"/>
      <c r="M30" s="21">
        <f t="shared" si="12"/>
        <v>65.12999999999738</v>
      </c>
      <c r="N30" s="21">
        <f t="shared" si="12"/>
        <v>80.16000000000349</v>
      </c>
      <c r="O30" s="21">
        <f t="shared" si="12"/>
        <v>0</v>
      </c>
      <c r="P30" s="21">
        <f t="shared" si="12"/>
        <v>-2986.545</v>
      </c>
      <c r="Q30" s="21">
        <f t="shared" si="12"/>
        <v>-1177.9899999999998</v>
      </c>
      <c r="R30" s="21">
        <f t="shared" si="12"/>
        <v>-1471.877</v>
      </c>
      <c r="S30" s="21">
        <f t="shared" si="12"/>
        <v>-403.578</v>
      </c>
      <c r="T30" s="21">
        <f t="shared" si="12"/>
        <v>-660.8025</v>
      </c>
      <c r="U30" s="21">
        <f t="shared" si="12"/>
        <v>-716.0775</v>
      </c>
      <c r="V30" s="21">
        <f t="shared" si="12"/>
        <v>-767.53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</row>
    <row r="31" spans="1:22" s="36" customFormat="1" ht="27.75" customHeight="1" hidden="1">
      <c r="A31" s="33"/>
      <c r="B31" s="33">
        <v>1</v>
      </c>
      <c r="C31" s="33"/>
      <c r="D31" s="218" t="s">
        <v>43</v>
      </c>
      <c r="E31" s="219"/>
      <c r="F31" s="219"/>
      <c r="G31" s="34">
        <v>22</v>
      </c>
      <c r="H31" s="35">
        <v>0</v>
      </c>
      <c r="I31" s="35">
        <f t="shared" si="1"/>
        <v>0</v>
      </c>
      <c r="J31" s="35">
        <v>0</v>
      </c>
      <c r="K31" s="35">
        <v>0</v>
      </c>
      <c r="L31" s="173" t="e">
        <f t="shared" si="2"/>
        <v>#DIV/0!</v>
      </c>
      <c r="M31" s="35">
        <v>0</v>
      </c>
      <c r="N31" s="25"/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</row>
    <row r="32" spans="1:22" s="2" customFormat="1" ht="41.25" customHeight="1" hidden="1">
      <c r="A32" s="25"/>
      <c r="B32" s="25">
        <v>2</v>
      </c>
      <c r="C32" s="25"/>
      <c r="D32" s="183" t="s">
        <v>44</v>
      </c>
      <c r="E32" s="220"/>
      <c r="F32" s="220"/>
      <c r="G32" s="24">
        <v>23</v>
      </c>
      <c r="H32" s="25">
        <v>0</v>
      </c>
      <c r="I32" s="25">
        <f t="shared" si="1"/>
        <v>0</v>
      </c>
      <c r="J32" s="25">
        <v>0</v>
      </c>
      <c r="K32" s="25">
        <v>0</v>
      </c>
      <c r="L32" s="173" t="e">
        <f t="shared" si="2"/>
        <v>#DIV/0!</v>
      </c>
      <c r="M32" s="25">
        <v>0</v>
      </c>
      <c r="N32" s="25"/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</row>
    <row r="33" spans="1:22" ht="46.5" customHeight="1" hidden="1">
      <c r="A33" s="23"/>
      <c r="B33" s="23">
        <v>3</v>
      </c>
      <c r="C33" s="23"/>
      <c r="D33" s="183" t="s">
        <v>45</v>
      </c>
      <c r="E33" s="186"/>
      <c r="F33" s="186"/>
      <c r="G33" s="24">
        <v>24</v>
      </c>
      <c r="H33" s="25">
        <v>0</v>
      </c>
      <c r="I33" s="25">
        <f t="shared" si="1"/>
        <v>0</v>
      </c>
      <c r="J33" s="25">
        <v>0</v>
      </c>
      <c r="K33" s="25">
        <v>0</v>
      </c>
      <c r="L33" s="173" t="e">
        <f t="shared" si="2"/>
        <v>#DIV/0!</v>
      </c>
      <c r="M33" s="25">
        <v>0</v>
      </c>
      <c r="N33" s="25"/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</row>
    <row r="34" spans="1:22" ht="92.25" customHeight="1" hidden="1">
      <c r="A34" s="23"/>
      <c r="B34" s="30">
        <v>4</v>
      </c>
      <c r="C34" s="30"/>
      <c r="D34" s="183" t="s">
        <v>46</v>
      </c>
      <c r="E34" s="186"/>
      <c r="F34" s="186"/>
      <c r="G34" s="24">
        <v>25</v>
      </c>
      <c r="H34" s="25">
        <v>0</v>
      </c>
      <c r="I34" s="25">
        <f t="shared" si="1"/>
        <v>0</v>
      </c>
      <c r="J34" s="25">
        <v>0</v>
      </c>
      <c r="K34" s="25">
        <v>0</v>
      </c>
      <c r="L34" s="173" t="e">
        <f t="shared" si="2"/>
        <v>#DIV/0!</v>
      </c>
      <c r="M34" s="25">
        <v>0</v>
      </c>
      <c r="N34" s="25"/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</row>
    <row r="35" spans="1:22" ht="31.5" customHeight="1" hidden="1">
      <c r="A35" s="23"/>
      <c r="B35" s="30">
        <v>5</v>
      </c>
      <c r="C35" s="30"/>
      <c r="D35" s="183" t="s">
        <v>47</v>
      </c>
      <c r="E35" s="186"/>
      <c r="F35" s="186"/>
      <c r="G35" s="24">
        <v>26</v>
      </c>
      <c r="H35" s="25">
        <v>0</v>
      </c>
      <c r="I35" s="25">
        <f t="shared" si="1"/>
        <v>0</v>
      </c>
      <c r="J35" s="25">
        <v>0</v>
      </c>
      <c r="K35" s="25">
        <v>0</v>
      </c>
      <c r="L35" s="173" t="e">
        <f t="shared" si="2"/>
        <v>#DIV/0!</v>
      </c>
      <c r="M35" s="25">
        <v>0</v>
      </c>
      <c r="N35" s="25"/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</row>
    <row r="36" spans="1:22" ht="46.5" customHeight="1" hidden="1">
      <c r="A36" s="23"/>
      <c r="B36" s="30">
        <v>6</v>
      </c>
      <c r="C36" s="30"/>
      <c r="D36" s="183" t="s">
        <v>48</v>
      </c>
      <c r="E36" s="186"/>
      <c r="F36" s="186"/>
      <c r="G36" s="24">
        <v>27</v>
      </c>
      <c r="H36" s="25">
        <v>0</v>
      </c>
      <c r="I36" s="25">
        <f t="shared" si="1"/>
        <v>0</v>
      </c>
      <c r="J36" s="25">
        <v>0</v>
      </c>
      <c r="K36" s="25">
        <v>0</v>
      </c>
      <c r="L36" s="173" t="e">
        <f t="shared" si="2"/>
        <v>#DIV/0!</v>
      </c>
      <c r="M36" s="25">
        <v>0</v>
      </c>
      <c r="N36" s="25"/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</row>
    <row r="37" spans="1:22" ht="67.5" customHeight="1" hidden="1">
      <c r="A37" s="23"/>
      <c r="B37" s="30">
        <v>7</v>
      </c>
      <c r="C37" s="30"/>
      <c r="D37" s="183" t="s">
        <v>49</v>
      </c>
      <c r="E37" s="186"/>
      <c r="F37" s="186"/>
      <c r="G37" s="24">
        <v>28</v>
      </c>
      <c r="H37" s="25">
        <v>0</v>
      </c>
      <c r="I37" s="25">
        <f t="shared" si="1"/>
        <v>0</v>
      </c>
      <c r="J37" s="25">
        <v>0</v>
      </c>
      <c r="K37" s="25">
        <v>0</v>
      </c>
      <c r="L37" s="173" t="e">
        <f t="shared" si="2"/>
        <v>#DIV/0!</v>
      </c>
      <c r="M37" s="25">
        <v>0</v>
      </c>
      <c r="N37" s="25"/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</row>
    <row r="38" spans="1:22" ht="80.25" customHeight="1" hidden="1">
      <c r="A38" s="23"/>
      <c r="B38" s="30">
        <v>8</v>
      </c>
      <c r="C38" s="30"/>
      <c r="D38" s="221" t="s">
        <v>50</v>
      </c>
      <c r="E38" s="186"/>
      <c r="F38" s="186"/>
      <c r="G38" s="37">
        <v>29</v>
      </c>
      <c r="H38" s="25">
        <v>0</v>
      </c>
      <c r="I38" s="25">
        <f t="shared" si="1"/>
        <v>0</v>
      </c>
      <c r="J38" s="25">
        <v>0</v>
      </c>
      <c r="K38" s="25">
        <v>0</v>
      </c>
      <c r="L38" s="173" t="e">
        <f t="shared" si="2"/>
        <v>#DIV/0!</v>
      </c>
      <c r="M38" s="25">
        <v>0</v>
      </c>
      <c r="N38" s="25"/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</row>
    <row r="39" spans="1:22" ht="25.5" customHeight="1" hidden="1">
      <c r="A39" s="23"/>
      <c r="B39" s="23"/>
      <c r="C39" s="23" t="s">
        <v>51</v>
      </c>
      <c r="D39" s="222" t="s">
        <v>52</v>
      </c>
      <c r="E39" s="186"/>
      <c r="F39" s="186"/>
      <c r="G39" s="37">
        <v>31</v>
      </c>
      <c r="H39" s="25"/>
      <c r="I39" s="25">
        <f t="shared" si="1"/>
        <v>0</v>
      </c>
      <c r="J39" s="25"/>
      <c r="K39" s="25">
        <v>0</v>
      </c>
      <c r="L39" s="173" t="e">
        <f t="shared" si="2"/>
        <v>#DIV/0!</v>
      </c>
      <c r="M39" s="25"/>
      <c r="N39" s="25"/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</row>
    <row r="40" spans="1:22" ht="53.25" customHeight="1" hidden="1">
      <c r="A40" s="23"/>
      <c r="B40" s="30">
        <v>9</v>
      </c>
      <c r="C40" s="30"/>
      <c r="D40" s="192" t="s">
        <v>53</v>
      </c>
      <c r="E40" s="186"/>
      <c r="F40" s="186"/>
      <c r="G40" s="37">
        <v>32</v>
      </c>
      <c r="H40" s="25">
        <v>0</v>
      </c>
      <c r="I40" s="25">
        <f t="shared" si="1"/>
        <v>0</v>
      </c>
      <c r="J40" s="25">
        <v>0</v>
      </c>
      <c r="K40" s="25">
        <v>0</v>
      </c>
      <c r="L40" s="173" t="e">
        <f t="shared" si="2"/>
        <v>#DIV/0!</v>
      </c>
      <c r="M40" s="25">
        <v>0</v>
      </c>
      <c r="N40" s="25"/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</row>
    <row r="41" spans="1:22" s="7" customFormat="1" ht="25.5" customHeight="1" hidden="1">
      <c r="A41" s="13" t="s">
        <v>54</v>
      </c>
      <c r="B41" s="13"/>
      <c r="C41" s="13"/>
      <c r="D41" s="223" t="s">
        <v>55</v>
      </c>
      <c r="E41" s="224"/>
      <c r="F41" s="224"/>
      <c r="G41" s="38">
        <v>32</v>
      </c>
      <c r="H41" s="39">
        <v>0</v>
      </c>
      <c r="I41" s="39">
        <f t="shared" si="1"/>
        <v>0</v>
      </c>
      <c r="J41" s="39">
        <v>0</v>
      </c>
      <c r="K41" s="39">
        <v>0</v>
      </c>
      <c r="L41" s="173" t="e">
        <f t="shared" si="2"/>
        <v>#DIV/0!</v>
      </c>
      <c r="M41" s="39">
        <v>0</v>
      </c>
      <c r="N41" s="25"/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</row>
    <row r="42" spans="1:22" s="7" customFormat="1" ht="25.5" customHeight="1" hidden="1">
      <c r="A42" s="13" t="s">
        <v>56</v>
      </c>
      <c r="B42" s="13"/>
      <c r="C42" s="13"/>
      <c r="D42" s="223" t="s">
        <v>57</v>
      </c>
      <c r="E42" s="224"/>
      <c r="F42" s="224"/>
      <c r="G42" s="38">
        <v>33</v>
      </c>
      <c r="H42" s="39">
        <f>H43+H44+H45+H46+H47</f>
        <v>0</v>
      </c>
      <c r="I42" s="39">
        <f t="shared" si="1"/>
        <v>0</v>
      </c>
      <c r="J42" s="39">
        <v>0</v>
      </c>
      <c r="K42" s="39">
        <v>0</v>
      </c>
      <c r="L42" s="173" t="e">
        <f t="shared" si="2"/>
        <v>#DIV/0!</v>
      </c>
      <c r="M42" s="39">
        <f>M43+M44+M45+M46+M47</f>
        <v>0</v>
      </c>
      <c r="N42" s="25"/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</row>
    <row r="43" spans="1:22" ht="25.5" customHeight="1" hidden="1">
      <c r="A43" s="23"/>
      <c r="B43" s="23"/>
      <c r="C43" s="23" t="s">
        <v>51</v>
      </c>
      <c r="D43" s="192" t="s">
        <v>58</v>
      </c>
      <c r="E43" s="186"/>
      <c r="F43" s="186"/>
      <c r="G43" s="37">
        <v>34</v>
      </c>
      <c r="H43" s="25">
        <v>0</v>
      </c>
      <c r="I43" s="25">
        <f t="shared" si="1"/>
        <v>0</v>
      </c>
      <c r="J43" s="25">
        <v>0</v>
      </c>
      <c r="K43" s="25">
        <v>0</v>
      </c>
      <c r="L43" s="173" t="e">
        <f t="shared" si="2"/>
        <v>#DIV/0!</v>
      </c>
      <c r="M43" s="25">
        <v>0</v>
      </c>
      <c r="N43" s="25"/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</row>
    <row r="44" spans="1:22" ht="25.5" customHeight="1" hidden="1">
      <c r="A44" s="23"/>
      <c r="B44" s="23"/>
      <c r="C44" s="23" t="s">
        <v>59</v>
      </c>
      <c r="D44" s="192" t="s">
        <v>60</v>
      </c>
      <c r="E44" s="186"/>
      <c r="F44" s="186"/>
      <c r="G44" s="37">
        <v>35</v>
      </c>
      <c r="H44" s="25">
        <v>0</v>
      </c>
      <c r="I44" s="25">
        <f t="shared" si="1"/>
        <v>0</v>
      </c>
      <c r="J44" s="25">
        <v>0</v>
      </c>
      <c r="K44" s="25">
        <v>0</v>
      </c>
      <c r="L44" s="173" t="e">
        <f t="shared" si="2"/>
        <v>#DIV/0!</v>
      </c>
      <c r="M44" s="25">
        <v>0</v>
      </c>
      <c r="N44" s="25"/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</row>
    <row r="45" spans="1:22" ht="25.5" customHeight="1" hidden="1">
      <c r="A45" s="23"/>
      <c r="B45" s="23"/>
      <c r="C45" s="23" t="s">
        <v>61</v>
      </c>
      <c r="D45" s="192" t="s">
        <v>62</v>
      </c>
      <c r="E45" s="186"/>
      <c r="F45" s="186"/>
      <c r="G45" s="37">
        <v>36</v>
      </c>
      <c r="H45" s="25">
        <v>0</v>
      </c>
      <c r="I45" s="25">
        <f t="shared" si="1"/>
        <v>0</v>
      </c>
      <c r="J45" s="25">
        <v>0</v>
      </c>
      <c r="K45" s="25">
        <v>0</v>
      </c>
      <c r="L45" s="173" t="e">
        <f t="shared" si="2"/>
        <v>#DIV/0!</v>
      </c>
      <c r="M45" s="25">
        <v>0</v>
      </c>
      <c r="N45" s="25"/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</row>
    <row r="46" spans="1:22" ht="25.5" customHeight="1" hidden="1">
      <c r="A46" s="23"/>
      <c r="B46" s="23"/>
      <c r="C46" s="30" t="s">
        <v>63</v>
      </c>
      <c r="D46" s="192" t="s">
        <v>64</v>
      </c>
      <c r="E46" s="186"/>
      <c r="F46" s="186"/>
      <c r="G46" s="37">
        <v>37</v>
      </c>
      <c r="H46" s="25">
        <v>0</v>
      </c>
      <c r="I46" s="25">
        <f t="shared" si="1"/>
        <v>0</v>
      </c>
      <c r="J46" s="25">
        <v>0</v>
      </c>
      <c r="K46" s="25">
        <v>0</v>
      </c>
      <c r="L46" s="173" t="e">
        <f t="shared" si="2"/>
        <v>#DIV/0!</v>
      </c>
      <c r="M46" s="25">
        <v>0</v>
      </c>
      <c r="N46" s="25"/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</row>
    <row r="47" spans="1:22" ht="25.5" customHeight="1" hidden="1">
      <c r="A47" s="23"/>
      <c r="B47" s="23"/>
      <c r="C47" s="30" t="s">
        <v>65</v>
      </c>
      <c r="D47" s="192" t="s">
        <v>66</v>
      </c>
      <c r="E47" s="186"/>
      <c r="F47" s="186"/>
      <c r="G47" s="37">
        <v>38</v>
      </c>
      <c r="H47" s="25">
        <v>0</v>
      </c>
      <c r="I47" s="25">
        <f t="shared" si="1"/>
        <v>0</v>
      </c>
      <c r="J47" s="25">
        <v>0</v>
      </c>
      <c r="K47" s="25">
        <v>0</v>
      </c>
      <c r="L47" s="173" t="e">
        <f t="shared" si="2"/>
        <v>#DIV/0!</v>
      </c>
      <c r="M47" s="25">
        <v>0</v>
      </c>
      <c r="N47" s="25"/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</row>
    <row r="48" spans="1:22" s="22" customFormat="1" ht="25.5" customHeight="1">
      <c r="A48" s="18" t="s">
        <v>67</v>
      </c>
      <c r="B48" s="18"/>
      <c r="C48" s="18"/>
      <c r="D48" s="225" t="s">
        <v>68</v>
      </c>
      <c r="E48" s="184"/>
      <c r="F48" s="184"/>
      <c r="G48" s="40">
        <v>39</v>
      </c>
      <c r="H48" s="21">
        <v>0</v>
      </c>
      <c r="I48" s="21">
        <f t="shared" si="1"/>
        <v>9625</v>
      </c>
      <c r="J48" s="21">
        <v>9305</v>
      </c>
      <c r="K48" s="21">
        <v>320</v>
      </c>
      <c r="L48" s="173"/>
      <c r="M48" s="21">
        <v>0</v>
      </c>
      <c r="N48" s="25"/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</row>
    <row r="49" spans="1:22" ht="25.5" customHeight="1">
      <c r="A49" s="23"/>
      <c r="B49" s="23">
        <v>1</v>
      </c>
      <c r="C49" s="23"/>
      <c r="D49" s="192" t="s">
        <v>69</v>
      </c>
      <c r="E49" s="186"/>
      <c r="F49" s="186"/>
      <c r="G49" s="37">
        <v>40</v>
      </c>
      <c r="H49" s="25">
        <v>0</v>
      </c>
      <c r="I49" s="25">
        <f t="shared" si="1"/>
        <v>957</v>
      </c>
      <c r="J49" s="25">
        <v>957</v>
      </c>
      <c r="K49" s="25">
        <v>0</v>
      </c>
      <c r="L49" s="173"/>
      <c r="M49" s="25">
        <v>0</v>
      </c>
      <c r="N49" s="25"/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</row>
    <row r="50" spans="1:22" s="22" customFormat="1" ht="23.25" customHeight="1">
      <c r="A50" s="18" t="s">
        <v>70</v>
      </c>
      <c r="B50" s="18"/>
      <c r="C50" s="18"/>
      <c r="D50" s="225" t="s">
        <v>71</v>
      </c>
      <c r="E50" s="184"/>
      <c r="F50" s="184"/>
      <c r="G50" s="40">
        <v>41</v>
      </c>
      <c r="H50" s="21">
        <v>0</v>
      </c>
      <c r="I50" s="21">
        <f>J50+K50</f>
        <v>9625</v>
      </c>
      <c r="J50" s="21">
        <v>9305</v>
      </c>
      <c r="K50" s="21">
        <v>320</v>
      </c>
      <c r="L50" s="173"/>
      <c r="M50" s="21">
        <v>0</v>
      </c>
      <c r="N50" s="25"/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</row>
    <row r="51" spans="1:22" ht="25.5" customHeight="1" hidden="1">
      <c r="A51" s="23"/>
      <c r="B51" s="23"/>
      <c r="C51" s="23"/>
      <c r="D51" s="192" t="s">
        <v>72</v>
      </c>
      <c r="E51" s="186"/>
      <c r="F51" s="186"/>
      <c r="G51" s="37">
        <v>42</v>
      </c>
      <c r="H51" s="25">
        <v>0</v>
      </c>
      <c r="I51" s="25">
        <f t="shared" si="1"/>
        <v>0</v>
      </c>
      <c r="J51" s="25">
        <v>0</v>
      </c>
      <c r="K51" s="25">
        <v>0</v>
      </c>
      <c r="L51" s="173" t="e">
        <f t="shared" si="2"/>
        <v>#DIV/0!</v>
      </c>
      <c r="M51" s="25">
        <v>0</v>
      </c>
      <c r="N51" s="25"/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</row>
    <row r="52" spans="1:22" ht="25.5" customHeight="1">
      <c r="A52" s="23"/>
      <c r="B52" s="23">
        <v>1</v>
      </c>
      <c r="C52" s="23"/>
      <c r="D52" s="192" t="s">
        <v>73</v>
      </c>
      <c r="E52" s="186"/>
      <c r="F52" s="186"/>
      <c r="G52" s="37">
        <v>43</v>
      </c>
      <c r="H52" s="25">
        <v>126</v>
      </c>
      <c r="I52" s="25">
        <f t="shared" si="1"/>
        <v>139</v>
      </c>
      <c r="J52" s="25">
        <v>106</v>
      </c>
      <c r="K52" s="25">
        <v>33</v>
      </c>
      <c r="L52" s="173">
        <f t="shared" si="2"/>
        <v>1.1031746031746033</v>
      </c>
      <c r="M52" s="25">
        <v>126</v>
      </c>
      <c r="N52" s="25"/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</row>
    <row r="53" spans="1:22" ht="25.5" customHeight="1">
      <c r="A53" s="23"/>
      <c r="B53" s="23">
        <v>2</v>
      </c>
      <c r="C53" s="23"/>
      <c r="D53" s="192" t="s">
        <v>74</v>
      </c>
      <c r="E53" s="186"/>
      <c r="F53" s="186"/>
      <c r="G53" s="37">
        <v>44</v>
      </c>
      <c r="H53" s="25">
        <v>129</v>
      </c>
      <c r="I53" s="25">
        <f t="shared" si="1"/>
        <v>136</v>
      </c>
      <c r="J53" s="25">
        <v>100</v>
      </c>
      <c r="K53" s="25">
        <v>36</v>
      </c>
      <c r="L53" s="173">
        <f t="shared" si="2"/>
        <v>1.054263565891473</v>
      </c>
      <c r="M53" s="25">
        <v>129</v>
      </c>
      <c r="N53" s="25"/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</row>
    <row r="54" spans="1:22" ht="25.5" customHeight="1">
      <c r="A54" s="23"/>
      <c r="B54" s="30">
        <v>3</v>
      </c>
      <c r="C54" s="23"/>
      <c r="D54" s="192" t="s">
        <v>75</v>
      </c>
      <c r="E54" s="186"/>
      <c r="F54" s="186"/>
      <c r="G54" s="37">
        <v>45</v>
      </c>
      <c r="H54" s="25">
        <f>H55+H56</f>
        <v>4192.5</v>
      </c>
      <c r="I54" s="25">
        <f t="shared" si="1"/>
        <v>4432</v>
      </c>
      <c r="J54" s="25">
        <f>J55+J56</f>
        <v>3563</v>
      </c>
      <c r="K54" s="25">
        <f>K55+K56</f>
        <v>869</v>
      </c>
      <c r="L54" s="173">
        <f t="shared" si="2"/>
        <v>1.0571258199165177</v>
      </c>
      <c r="M54" s="25">
        <f>M55+M56</f>
        <v>4192.5</v>
      </c>
      <c r="N54" s="25"/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25.5" customHeight="1">
      <c r="A55" s="23"/>
      <c r="B55" s="23"/>
      <c r="C55" s="23" t="s">
        <v>51</v>
      </c>
      <c r="D55" s="192" t="s">
        <v>60</v>
      </c>
      <c r="E55" s="186"/>
      <c r="F55" s="186"/>
      <c r="G55" s="37">
        <v>46</v>
      </c>
      <c r="H55" s="25">
        <v>4192.5</v>
      </c>
      <c r="I55" s="25">
        <f t="shared" si="1"/>
        <v>4432</v>
      </c>
      <c r="J55" s="25">
        <v>3563</v>
      </c>
      <c r="K55" s="25">
        <v>869</v>
      </c>
      <c r="L55" s="173">
        <f t="shared" si="2"/>
        <v>1.0571258199165177</v>
      </c>
      <c r="M55" s="25">
        <v>4192.5</v>
      </c>
      <c r="N55" s="25"/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</row>
    <row r="56" spans="1:22" ht="25.5" customHeight="1" hidden="1">
      <c r="A56" s="23"/>
      <c r="B56" s="23"/>
      <c r="C56" s="23" t="s">
        <v>59</v>
      </c>
      <c r="D56" s="192" t="s">
        <v>25</v>
      </c>
      <c r="E56" s="186"/>
      <c r="F56" s="186"/>
      <c r="G56" s="37">
        <v>47</v>
      </c>
      <c r="H56" s="25">
        <v>0</v>
      </c>
      <c r="I56" s="25">
        <v>0</v>
      </c>
      <c r="J56" s="25">
        <v>0</v>
      </c>
      <c r="K56" s="25">
        <v>0</v>
      </c>
      <c r="L56" s="173" t="e">
        <f t="shared" si="2"/>
        <v>#DIV/0!</v>
      </c>
      <c r="M56" s="25">
        <v>0</v>
      </c>
      <c r="N56" s="25"/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</row>
    <row r="57" spans="1:22" ht="67.5" customHeight="1">
      <c r="A57" s="23"/>
      <c r="B57" s="30">
        <v>4</v>
      </c>
      <c r="C57" s="23"/>
      <c r="D57" s="192" t="s">
        <v>76</v>
      </c>
      <c r="E57" s="186"/>
      <c r="F57" s="186"/>
      <c r="G57" s="37">
        <v>48</v>
      </c>
      <c r="H57" s="25">
        <f>H55/H53/12*1000</f>
        <v>2708.3333333333335</v>
      </c>
      <c r="I57" s="25">
        <f>I55/I53/12*1000</f>
        <v>2715.6862745098038</v>
      </c>
      <c r="J57" s="25">
        <f>J55/J53/12*1000</f>
        <v>2969.1666666666665</v>
      </c>
      <c r="K57" s="25">
        <f>K55/K53/12*1000</f>
        <v>2011.574074074074</v>
      </c>
      <c r="L57" s="173">
        <f t="shared" si="2"/>
        <v>1.0027149321266968</v>
      </c>
      <c r="M57" s="25">
        <f>M55/M53/12*1000</f>
        <v>2708.3333333333335</v>
      </c>
      <c r="N57" s="25"/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</row>
    <row r="58" spans="1:22" ht="57.75" customHeight="1">
      <c r="A58" s="23"/>
      <c r="B58" s="30">
        <v>5</v>
      </c>
      <c r="C58" s="23"/>
      <c r="D58" s="192" t="s">
        <v>77</v>
      </c>
      <c r="E58" s="186"/>
      <c r="F58" s="186"/>
      <c r="G58" s="24">
        <v>49</v>
      </c>
      <c r="H58" s="25">
        <f>H54/H53/12*1000</f>
        <v>2708.3333333333335</v>
      </c>
      <c r="I58" s="25">
        <f>I54/I53/12*1000</f>
        <v>2715.6862745098038</v>
      </c>
      <c r="J58" s="25">
        <f>J54/J53/12*1000</f>
        <v>2969.1666666666665</v>
      </c>
      <c r="K58" s="25">
        <f>K54/K53/12*1000</f>
        <v>2011.574074074074</v>
      </c>
      <c r="L58" s="173">
        <f t="shared" si="2"/>
        <v>1.0027149321266968</v>
      </c>
      <c r="M58" s="25">
        <f>M54/M53/12*1000</f>
        <v>2708.3333333333335</v>
      </c>
      <c r="N58" s="25"/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</row>
    <row r="59" spans="1:22" ht="57" customHeight="1">
      <c r="A59" s="23"/>
      <c r="B59" s="30">
        <v>6</v>
      </c>
      <c r="C59" s="23"/>
      <c r="D59" s="192" t="s">
        <v>78</v>
      </c>
      <c r="E59" s="186"/>
      <c r="F59" s="186"/>
      <c r="G59" s="24">
        <v>50</v>
      </c>
      <c r="H59" s="25">
        <f>H10/H53</f>
        <v>84.12403100775194</v>
      </c>
      <c r="I59" s="25">
        <f>I10/I53</f>
        <v>81.7279411764706</v>
      </c>
      <c r="J59" s="25">
        <f>J10/J53</f>
        <v>122.18</v>
      </c>
      <c r="K59" s="25">
        <f>K10/K53</f>
        <v>80.5</v>
      </c>
      <c r="L59" s="173">
        <f t="shared" si="2"/>
        <v>0.9715171776414215</v>
      </c>
      <c r="M59" s="25">
        <f>M10/M53</f>
        <v>152.33682170542633</v>
      </c>
      <c r="N59" s="25"/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</row>
    <row r="60" spans="1:22" s="44" customFormat="1" ht="48" customHeight="1" hidden="1">
      <c r="A60" s="41"/>
      <c r="B60" s="42">
        <v>7</v>
      </c>
      <c r="C60" s="41"/>
      <c r="D60" s="192" t="s">
        <v>79</v>
      </c>
      <c r="E60" s="226"/>
      <c r="F60" s="226"/>
      <c r="G60" s="43">
        <v>51</v>
      </c>
      <c r="H60" s="31">
        <v>0</v>
      </c>
      <c r="I60" s="31">
        <v>0</v>
      </c>
      <c r="J60" s="31">
        <v>0</v>
      </c>
      <c r="K60" s="31">
        <v>0</v>
      </c>
      <c r="L60" s="173" t="e">
        <f t="shared" si="2"/>
        <v>#DIV/0!</v>
      </c>
      <c r="M60" s="31">
        <v>0</v>
      </c>
      <c r="N60" s="25"/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</row>
    <row r="61" spans="1:22" ht="48" customHeight="1" hidden="1">
      <c r="A61" s="23"/>
      <c r="B61" s="30">
        <v>8</v>
      </c>
      <c r="C61" s="23"/>
      <c r="D61" s="192" t="s">
        <v>80</v>
      </c>
      <c r="E61" s="186"/>
      <c r="F61" s="186"/>
      <c r="G61" s="24">
        <v>52</v>
      </c>
      <c r="H61" s="25">
        <v>0</v>
      </c>
      <c r="I61" s="25">
        <v>0</v>
      </c>
      <c r="J61" s="25">
        <v>0</v>
      </c>
      <c r="K61" s="25">
        <v>0</v>
      </c>
      <c r="L61" s="173" t="e">
        <f t="shared" si="2"/>
        <v>#DIV/0!</v>
      </c>
      <c r="M61" s="25">
        <v>0</v>
      </c>
      <c r="N61" s="25"/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</row>
    <row r="62" spans="1:22" ht="36.75" customHeight="1">
      <c r="A62" s="23"/>
      <c r="B62" s="30">
        <v>9</v>
      </c>
      <c r="C62" s="23"/>
      <c r="D62" s="192" t="s">
        <v>81</v>
      </c>
      <c r="E62" s="186"/>
      <c r="F62" s="186"/>
      <c r="G62" s="24">
        <v>53</v>
      </c>
      <c r="H62" s="25">
        <f>H14/H10*1000</f>
        <v>1000</v>
      </c>
      <c r="I62" s="25">
        <f>I14/I10*1000</f>
        <v>1355.285650022492</v>
      </c>
      <c r="J62" s="25">
        <v>0</v>
      </c>
      <c r="K62" s="25">
        <v>0</v>
      </c>
      <c r="L62" s="173">
        <f t="shared" si="2"/>
        <v>1.3552856500224921</v>
      </c>
      <c r="M62" s="25">
        <f>M14/M10*1000</f>
        <v>996.6857407468661</v>
      </c>
      <c r="N62" s="25"/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</row>
    <row r="63" spans="1:14" ht="19.5" customHeight="1" hidden="1">
      <c r="A63" s="23"/>
      <c r="B63" s="30">
        <v>10</v>
      </c>
      <c r="C63" s="23"/>
      <c r="D63" s="192" t="s">
        <v>82</v>
      </c>
      <c r="E63" s="186"/>
      <c r="F63" s="186"/>
      <c r="G63" s="24">
        <v>54</v>
      </c>
      <c r="H63" s="25">
        <v>0</v>
      </c>
      <c r="I63" s="25">
        <v>0</v>
      </c>
      <c r="J63" s="25">
        <v>0</v>
      </c>
      <c r="K63" s="25">
        <v>0</v>
      </c>
      <c r="L63" s="173" t="e">
        <f t="shared" si="2"/>
        <v>#DIV/0!</v>
      </c>
      <c r="M63" s="25">
        <v>0</v>
      </c>
      <c r="N63" s="2"/>
    </row>
    <row r="64" spans="1:14" ht="12.75" customHeight="1" hidden="1">
      <c r="A64" s="23"/>
      <c r="B64" s="30">
        <v>11</v>
      </c>
      <c r="C64" s="23"/>
      <c r="D64" s="192" t="s">
        <v>83</v>
      </c>
      <c r="E64" s="186"/>
      <c r="F64" s="186"/>
      <c r="G64" s="24">
        <v>55</v>
      </c>
      <c r="H64" s="25">
        <v>0</v>
      </c>
      <c r="I64" s="25">
        <v>0</v>
      </c>
      <c r="J64" s="25">
        <v>0</v>
      </c>
      <c r="K64" s="25">
        <v>0</v>
      </c>
      <c r="L64" s="173" t="e">
        <f t="shared" si="2"/>
        <v>#DIV/0!</v>
      </c>
      <c r="M64" s="25">
        <v>0</v>
      </c>
      <c r="N64" s="2"/>
    </row>
    <row r="65" spans="6:14" ht="12.75">
      <c r="F65" s="45"/>
      <c r="N65" s="2"/>
    </row>
    <row r="66" spans="6:14" ht="12.75">
      <c r="F66" s="45"/>
      <c r="N66" s="2"/>
    </row>
    <row r="67" ht="12.75">
      <c r="N67" s="2"/>
    </row>
    <row r="68" ht="12.75">
      <c r="N68" s="2"/>
    </row>
    <row r="69" ht="12.75">
      <c r="N69" s="2"/>
    </row>
    <row r="70" ht="12.75">
      <c r="N70" s="2"/>
    </row>
    <row r="71" ht="12.75">
      <c r="N71" s="2"/>
    </row>
    <row r="72" ht="12.75">
      <c r="N72" s="2"/>
    </row>
    <row r="73" ht="12.75">
      <c r="N73" s="2"/>
    </row>
    <row r="74" ht="12.75">
      <c r="N74" s="2"/>
    </row>
    <row r="75" ht="12.75">
      <c r="N75" s="2"/>
    </row>
  </sheetData>
  <mergeCells count="68">
    <mergeCell ref="D63:F63"/>
    <mergeCell ref="D64:F64"/>
    <mergeCell ref="D59:F59"/>
    <mergeCell ref="D60:F60"/>
    <mergeCell ref="D61:F61"/>
    <mergeCell ref="D62:F62"/>
    <mergeCell ref="D55:F55"/>
    <mergeCell ref="D56:F56"/>
    <mergeCell ref="D57:F57"/>
    <mergeCell ref="D58:F58"/>
    <mergeCell ref="D51:F51"/>
    <mergeCell ref="D52:F52"/>
    <mergeCell ref="D53:F53"/>
    <mergeCell ref="D54:F54"/>
    <mergeCell ref="D47:F47"/>
    <mergeCell ref="D48:F48"/>
    <mergeCell ref="D49:F49"/>
    <mergeCell ref="D50:F50"/>
    <mergeCell ref="D43:F43"/>
    <mergeCell ref="D44:F44"/>
    <mergeCell ref="D45:F45"/>
    <mergeCell ref="D46:F46"/>
    <mergeCell ref="D39:F39"/>
    <mergeCell ref="D40:F40"/>
    <mergeCell ref="D41:F41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E23:F23"/>
    <mergeCell ref="E24:F24"/>
    <mergeCell ref="D25:F25"/>
    <mergeCell ref="D26:F26"/>
    <mergeCell ref="E19:F19"/>
    <mergeCell ref="E20:F20"/>
    <mergeCell ref="E21:F21"/>
    <mergeCell ref="E22:F22"/>
    <mergeCell ref="D16:F16"/>
    <mergeCell ref="D17:F17"/>
    <mergeCell ref="C18:D18"/>
    <mergeCell ref="E18:F18"/>
    <mergeCell ref="D12:F12"/>
    <mergeCell ref="D13:F13"/>
    <mergeCell ref="D14:F14"/>
    <mergeCell ref="D15:F15"/>
    <mergeCell ref="B9:C9"/>
    <mergeCell ref="D9:F9"/>
    <mergeCell ref="D10:F10"/>
    <mergeCell ref="D11:F11"/>
    <mergeCell ref="M7:M8"/>
    <mergeCell ref="N7:N8"/>
    <mergeCell ref="O7:V7"/>
    <mergeCell ref="D5:L5"/>
    <mergeCell ref="A7:F8"/>
    <mergeCell ref="G7:G8"/>
    <mergeCell ref="H7:H8"/>
    <mergeCell ref="I7:I8"/>
    <mergeCell ref="J7:K7"/>
    <mergeCell ref="L7:L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E178"/>
  <sheetViews>
    <sheetView workbookViewId="0" topLeftCell="A161">
      <selection activeCell="P12" sqref="P12"/>
    </sheetView>
  </sheetViews>
  <sheetFormatPr defaultColWidth="9.140625" defaultRowHeight="12.75"/>
  <cols>
    <col min="1" max="1" width="4.28125" style="46" customWidth="1"/>
    <col min="2" max="2" width="5.28125" style="46" customWidth="1"/>
    <col min="3" max="3" width="4.57421875" style="46" customWidth="1"/>
    <col min="4" max="5" width="5.28125" style="46" customWidth="1"/>
    <col min="6" max="6" width="29.140625" style="47" customWidth="1"/>
    <col min="7" max="7" width="6.7109375" style="48" customWidth="1"/>
    <col min="8" max="8" width="14.00390625" style="47" customWidth="1"/>
    <col min="9" max="9" width="12.28125" style="47" customWidth="1"/>
    <col min="10" max="10" width="11.8515625" style="47" hidden="1" customWidth="1"/>
    <col min="11" max="11" width="11.421875" style="47" hidden="1" customWidth="1"/>
    <col min="12" max="12" width="0.42578125" style="47" hidden="1" customWidth="1"/>
    <col min="13" max="13" width="7.00390625" style="49" customWidth="1"/>
    <col min="14" max="14" width="5.00390625" style="49" customWidth="1"/>
    <col min="15" max="16384" width="9.140625" style="46" customWidth="1"/>
  </cols>
  <sheetData>
    <row r="2" spans="9:20" ht="12.75">
      <c r="I2" s="4" t="s">
        <v>84</v>
      </c>
      <c r="J2" s="5"/>
      <c r="K2"/>
      <c r="L2" s="49"/>
      <c r="N2" s="1"/>
      <c r="O2" s="1"/>
      <c r="P2" s="1"/>
      <c r="Q2" s="1"/>
      <c r="R2" s="1"/>
      <c r="S2" s="1"/>
      <c r="T2" s="1"/>
    </row>
    <row r="4" spans="6:14" s="50" customFormat="1" ht="12.75">
      <c r="F4" s="51"/>
      <c r="G4" s="52"/>
      <c r="H4" s="51"/>
      <c r="I4" s="4"/>
      <c r="J4" s="5"/>
      <c r="K4"/>
      <c r="L4"/>
      <c r="M4" s="6"/>
      <c r="N4" s="6"/>
    </row>
    <row r="6" spans="2:13" s="484" customFormat="1" ht="15" customHeight="1">
      <c r="B6" s="4" t="s">
        <v>85</v>
      </c>
      <c r="C6" s="4"/>
      <c r="D6" s="4"/>
      <c r="E6" s="4"/>
      <c r="F6" s="4"/>
      <c r="G6" s="4"/>
      <c r="H6" s="4"/>
      <c r="I6" s="4"/>
      <c r="J6" s="4"/>
      <c r="K6" s="4"/>
      <c r="L6" s="485"/>
      <c r="M6" s="485"/>
    </row>
    <row r="7" spans="6:14" ht="14.25">
      <c r="F7" s="53"/>
      <c r="M7" s="227" t="s">
        <v>86</v>
      </c>
      <c r="N7" s="227"/>
    </row>
    <row r="8" spans="1:14" ht="57.75" customHeight="1">
      <c r="A8" s="228"/>
      <c r="B8" s="229"/>
      <c r="C8" s="230"/>
      <c r="D8" s="411" t="s">
        <v>479</v>
      </c>
      <c r="E8" s="412"/>
      <c r="F8" s="413"/>
      <c r="G8" s="234" t="s">
        <v>87</v>
      </c>
      <c r="H8" s="16" t="s">
        <v>439</v>
      </c>
      <c r="I8" s="236" t="s">
        <v>440</v>
      </c>
      <c r="J8" s="237"/>
      <c r="K8" s="237"/>
      <c r="L8" s="238"/>
      <c r="M8" s="239" t="s">
        <v>3</v>
      </c>
      <c r="N8" s="240"/>
    </row>
    <row r="9" spans="1:14" ht="39" customHeight="1">
      <c r="A9" s="231"/>
      <c r="B9" s="232"/>
      <c r="C9" s="233"/>
      <c r="D9" s="414"/>
      <c r="E9" s="415"/>
      <c r="F9" s="416"/>
      <c r="G9" s="235"/>
      <c r="H9" s="15" t="s">
        <v>88</v>
      </c>
      <c r="I9" s="16" t="s">
        <v>89</v>
      </c>
      <c r="J9" s="16" t="s">
        <v>90</v>
      </c>
      <c r="K9" s="241" t="s">
        <v>5</v>
      </c>
      <c r="L9" s="242"/>
      <c r="M9" s="239" t="s">
        <v>91</v>
      </c>
      <c r="N9" s="243"/>
    </row>
    <row r="10" spans="1:14" s="58" customFormat="1" ht="12.75">
      <c r="A10" s="54">
        <v>0</v>
      </c>
      <c r="B10" s="244">
        <v>1</v>
      </c>
      <c r="C10" s="245"/>
      <c r="D10" s="246">
        <v>2</v>
      </c>
      <c r="E10" s="247"/>
      <c r="F10" s="248"/>
      <c r="G10" s="55">
        <v>3</v>
      </c>
      <c r="H10" s="56">
        <v>4</v>
      </c>
      <c r="I10" s="57">
        <v>5</v>
      </c>
      <c r="J10" s="57">
        <v>6</v>
      </c>
      <c r="K10" s="249">
        <v>7</v>
      </c>
      <c r="L10" s="250"/>
      <c r="M10" s="249">
        <v>8</v>
      </c>
      <c r="N10" s="250"/>
    </row>
    <row r="11" spans="1:14" s="62" customFormat="1" ht="36" customHeight="1">
      <c r="A11" s="59" t="s">
        <v>7</v>
      </c>
      <c r="B11" s="59"/>
      <c r="C11" s="59"/>
      <c r="D11" s="251" t="s">
        <v>92</v>
      </c>
      <c r="E11" s="252"/>
      <c r="F11" s="252"/>
      <c r="G11" s="20">
        <v>1</v>
      </c>
      <c r="H11" s="60">
        <f>H12+H33+H39</f>
        <v>10852</v>
      </c>
      <c r="I11" s="61">
        <f>12217+2898</f>
        <v>15115</v>
      </c>
      <c r="J11" s="61">
        <f>J12+J33+J39</f>
        <v>12216.6</v>
      </c>
      <c r="K11" s="253">
        <f>K12+K33+K39</f>
        <v>2897.6</v>
      </c>
      <c r="L11" s="254"/>
      <c r="M11" s="255">
        <f>I11/H11</f>
        <v>1.3928308145963877</v>
      </c>
      <c r="N11" s="256"/>
    </row>
    <row r="12" spans="1:14" s="67" customFormat="1" ht="39" customHeight="1">
      <c r="A12" s="63"/>
      <c r="B12" s="64">
        <v>1</v>
      </c>
      <c r="C12" s="63"/>
      <c r="D12" s="257" t="s">
        <v>93</v>
      </c>
      <c r="E12" s="258"/>
      <c r="F12" s="258"/>
      <c r="G12" s="14">
        <v>2</v>
      </c>
      <c r="H12" s="65">
        <f>H13+H18+H19+H23+H24+H25</f>
        <v>10786</v>
      </c>
      <c r="I12" s="66">
        <f aca="true" t="shared" si="0" ref="I12:I50">J12+K12</f>
        <v>15064.2</v>
      </c>
      <c r="J12" s="66">
        <f>J13+J18+J19+J23+J24+J25</f>
        <v>12186.6</v>
      </c>
      <c r="K12" s="259">
        <f>K13+K18+K19+K23+K24+K25</f>
        <v>2877.6</v>
      </c>
      <c r="L12" s="260"/>
      <c r="M12" s="261">
        <f>I12/H12</f>
        <v>1.3966437975152977</v>
      </c>
      <c r="N12" s="262"/>
    </row>
    <row r="13" spans="1:14" ht="30" customHeight="1">
      <c r="A13" s="68"/>
      <c r="B13" s="68"/>
      <c r="C13" s="68" t="s">
        <v>51</v>
      </c>
      <c r="D13" s="263" t="s">
        <v>94</v>
      </c>
      <c r="E13" s="264"/>
      <c r="F13" s="264"/>
      <c r="G13" s="70">
        <v>3</v>
      </c>
      <c r="H13" s="71">
        <f>H14+H15+H16+H17</f>
        <v>4831</v>
      </c>
      <c r="I13" s="72">
        <f t="shared" si="0"/>
        <v>5873.9</v>
      </c>
      <c r="J13" s="72">
        <f>J14+J15+J16+J17</f>
        <v>3367</v>
      </c>
      <c r="K13" s="265">
        <f>K14+K15+K16+K17</f>
        <v>2506.9</v>
      </c>
      <c r="L13" s="266"/>
      <c r="M13" s="267">
        <f>I13/H13</f>
        <v>1.2158766300972883</v>
      </c>
      <c r="N13" s="268"/>
    </row>
    <row r="14" spans="1:109" ht="12.75" customHeight="1" hidden="1">
      <c r="A14" s="68"/>
      <c r="B14" s="68"/>
      <c r="C14" s="73"/>
      <c r="D14" s="73" t="s">
        <v>95</v>
      </c>
      <c r="E14" s="263" t="s">
        <v>96</v>
      </c>
      <c r="F14" s="264"/>
      <c r="G14" s="70">
        <v>4</v>
      </c>
      <c r="H14" s="71">
        <v>0</v>
      </c>
      <c r="I14" s="72">
        <f t="shared" si="0"/>
        <v>0</v>
      </c>
      <c r="J14" s="71">
        <v>0</v>
      </c>
      <c r="K14" s="269">
        <v>0</v>
      </c>
      <c r="L14" s="269"/>
      <c r="M14" s="267" t="e">
        <f aca="true" t="shared" si="1" ref="M14:M77">I14/H14</f>
        <v>#DIV/0!</v>
      </c>
      <c r="N14" s="268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</row>
    <row r="15" spans="1:109" ht="35.25" customHeight="1">
      <c r="A15" s="68"/>
      <c r="B15" s="68"/>
      <c r="C15" s="68"/>
      <c r="D15" s="68" t="s">
        <v>97</v>
      </c>
      <c r="E15" s="270" t="s">
        <v>98</v>
      </c>
      <c r="F15" s="270"/>
      <c r="G15" s="70">
        <v>5</v>
      </c>
      <c r="H15" s="71">
        <v>3530.5</v>
      </c>
      <c r="I15" s="72">
        <f t="shared" si="0"/>
        <v>4355.9</v>
      </c>
      <c r="J15" s="71">
        <v>3261</v>
      </c>
      <c r="K15" s="269">
        <v>1094.9</v>
      </c>
      <c r="L15" s="269"/>
      <c r="M15" s="267">
        <f t="shared" si="1"/>
        <v>1.2337912476986261</v>
      </c>
      <c r="N15" s="268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</row>
    <row r="16" spans="1:109" ht="30" customHeight="1">
      <c r="A16" s="68"/>
      <c r="B16" s="68"/>
      <c r="C16" s="68"/>
      <c r="D16" s="68" t="s">
        <v>99</v>
      </c>
      <c r="E16" s="263" t="s">
        <v>100</v>
      </c>
      <c r="F16" s="264"/>
      <c r="G16" s="70">
        <v>6</v>
      </c>
      <c r="H16" s="71">
        <v>450.5</v>
      </c>
      <c r="I16" s="72">
        <f t="shared" si="0"/>
        <v>534</v>
      </c>
      <c r="J16" s="71">
        <v>100</v>
      </c>
      <c r="K16" s="269">
        <v>434</v>
      </c>
      <c r="L16" s="269"/>
      <c r="M16" s="267">
        <f t="shared" si="1"/>
        <v>1.1853496115427302</v>
      </c>
      <c r="N16" s="268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</row>
    <row r="17" spans="1:109" ht="26.25" customHeight="1">
      <c r="A17" s="68"/>
      <c r="B17" s="68"/>
      <c r="C17" s="68"/>
      <c r="D17" s="73" t="s">
        <v>101</v>
      </c>
      <c r="E17" s="263" t="s">
        <v>102</v>
      </c>
      <c r="F17" s="264"/>
      <c r="G17" s="70">
        <v>7</v>
      </c>
      <c r="H17" s="71">
        <v>850</v>
      </c>
      <c r="I17" s="72">
        <f t="shared" si="0"/>
        <v>984</v>
      </c>
      <c r="J17" s="71">
        <v>6</v>
      </c>
      <c r="K17" s="269">
        <f>943+35</f>
        <v>978</v>
      </c>
      <c r="L17" s="269"/>
      <c r="M17" s="267">
        <f t="shared" si="1"/>
        <v>1.1576470588235295</v>
      </c>
      <c r="N17" s="268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</row>
    <row r="18" spans="1:109" ht="44.25" customHeight="1" hidden="1">
      <c r="A18" s="68"/>
      <c r="B18" s="68"/>
      <c r="C18" s="68" t="s">
        <v>59</v>
      </c>
      <c r="D18" s="263" t="s">
        <v>103</v>
      </c>
      <c r="E18" s="264"/>
      <c r="F18" s="264"/>
      <c r="G18" s="70">
        <v>8</v>
      </c>
      <c r="H18" s="71">
        <v>0</v>
      </c>
      <c r="I18" s="72">
        <f t="shared" si="0"/>
        <v>0</v>
      </c>
      <c r="J18" s="71">
        <v>0</v>
      </c>
      <c r="K18" s="269">
        <v>0</v>
      </c>
      <c r="L18" s="269"/>
      <c r="M18" s="267" t="e">
        <f t="shared" si="1"/>
        <v>#DIV/0!</v>
      </c>
      <c r="N18" s="268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</row>
    <row r="19" spans="1:109" ht="39" customHeight="1">
      <c r="A19" s="68"/>
      <c r="B19" s="68"/>
      <c r="C19" s="68" t="s">
        <v>61</v>
      </c>
      <c r="D19" s="263" t="s">
        <v>104</v>
      </c>
      <c r="E19" s="264"/>
      <c r="F19" s="264"/>
      <c r="G19" s="70">
        <v>9</v>
      </c>
      <c r="H19" s="71">
        <f>H20+H21+H22</f>
        <v>5414</v>
      </c>
      <c r="I19" s="72">
        <f t="shared" si="0"/>
        <v>8183.7</v>
      </c>
      <c r="J19" s="72">
        <f>J20+J21+J22</f>
        <v>8183.7</v>
      </c>
      <c r="K19" s="265">
        <f>K20+K21+K22</f>
        <v>0</v>
      </c>
      <c r="L19" s="266"/>
      <c r="M19" s="267">
        <f t="shared" si="1"/>
        <v>1.5115810860731436</v>
      </c>
      <c r="N19" s="268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</row>
    <row r="20" spans="1:109" ht="12.75" hidden="1">
      <c r="A20" s="68"/>
      <c r="B20" s="68"/>
      <c r="C20" s="73"/>
      <c r="D20" s="73" t="s">
        <v>105</v>
      </c>
      <c r="E20" s="271" t="s">
        <v>106</v>
      </c>
      <c r="F20" s="272"/>
      <c r="G20" s="70">
        <v>10</v>
      </c>
      <c r="H20" s="71">
        <v>0</v>
      </c>
      <c r="I20" s="72">
        <f t="shared" si="0"/>
        <v>0</v>
      </c>
      <c r="J20" s="71">
        <v>0</v>
      </c>
      <c r="K20" s="269">
        <v>0</v>
      </c>
      <c r="L20" s="269"/>
      <c r="M20" s="267" t="e">
        <f t="shared" si="1"/>
        <v>#DIV/0!</v>
      </c>
      <c r="N20" s="268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</row>
    <row r="21" spans="1:109" ht="24.75" customHeight="1">
      <c r="A21" s="68"/>
      <c r="B21" s="68"/>
      <c r="C21" s="73"/>
      <c r="D21" s="73" t="s">
        <v>107</v>
      </c>
      <c r="E21" s="271" t="s">
        <v>108</v>
      </c>
      <c r="F21" s="272"/>
      <c r="G21" s="70">
        <v>11</v>
      </c>
      <c r="H21" s="71">
        <v>5414</v>
      </c>
      <c r="I21" s="72">
        <f t="shared" si="0"/>
        <v>8183.7</v>
      </c>
      <c r="J21" s="71">
        <v>8183.7</v>
      </c>
      <c r="K21" s="269">
        <v>0</v>
      </c>
      <c r="L21" s="269"/>
      <c r="M21" s="267">
        <f t="shared" si="1"/>
        <v>1.5115810860731436</v>
      </c>
      <c r="N21" s="268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</row>
    <row r="22" spans="1:109" ht="25.5" customHeight="1" hidden="1">
      <c r="A22" s="68"/>
      <c r="B22" s="68"/>
      <c r="C22" s="73"/>
      <c r="D22" s="73" t="s">
        <v>109</v>
      </c>
      <c r="E22" s="271" t="s">
        <v>110</v>
      </c>
      <c r="F22" s="272"/>
      <c r="G22" s="70">
        <v>12</v>
      </c>
      <c r="H22" s="71">
        <v>0</v>
      </c>
      <c r="I22" s="72">
        <f t="shared" si="0"/>
        <v>0</v>
      </c>
      <c r="J22" s="71">
        <v>0</v>
      </c>
      <c r="K22" s="269">
        <v>0</v>
      </c>
      <c r="L22" s="269"/>
      <c r="M22" s="267" t="e">
        <f t="shared" si="1"/>
        <v>#DIV/0!</v>
      </c>
      <c r="N22" s="268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</row>
    <row r="23" spans="1:109" ht="18" customHeight="1" hidden="1">
      <c r="A23" s="68"/>
      <c r="B23" s="68"/>
      <c r="C23" s="73" t="s">
        <v>63</v>
      </c>
      <c r="D23" s="271" t="s">
        <v>111</v>
      </c>
      <c r="E23" s="264"/>
      <c r="F23" s="264"/>
      <c r="G23" s="70">
        <v>13</v>
      </c>
      <c r="H23" s="71">
        <v>0</v>
      </c>
      <c r="I23" s="72">
        <f t="shared" si="0"/>
        <v>0</v>
      </c>
      <c r="J23" s="71">
        <v>0</v>
      </c>
      <c r="K23" s="269">
        <v>0</v>
      </c>
      <c r="L23" s="269"/>
      <c r="M23" s="267" t="e">
        <f t="shared" si="1"/>
        <v>#DIV/0!</v>
      </c>
      <c r="N23" s="268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</row>
    <row r="24" spans="1:109" ht="33.75" customHeight="1" hidden="1">
      <c r="A24" s="68"/>
      <c r="B24" s="68"/>
      <c r="C24" s="73" t="s">
        <v>65</v>
      </c>
      <c r="D24" s="271" t="s">
        <v>112</v>
      </c>
      <c r="E24" s="264"/>
      <c r="F24" s="264"/>
      <c r="G24" s="70">
        <v>14</v>
      </c>
      <c r="H24" s="71">
        <v>0</v>
      </c>
      <c r="I24" s="72">
        <f t="shared" si="0"/>
        <v>0</v>
      </c>
      <c r="J24" s="71">
        <v>0</v>
      </c>
      <c r="K24" s="269">
        <v>0</v>
      </c>
      <c r="L24" s="269"/>
      <c r="M24" s="267" t="e">
        <f t="shared" si="1"/>
        <v>#DIV/0!</v>
      </c>
      <c r="N24" s="268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</row>
    <row r="25" spans="1:109" ht="32.25" customHeight="1">
      <c r="A25" s="68"/>
      <c r="B25" s="68"/>
      <c r="C25" s="73" t="s">
        <v>113</v>
      </c>
      <c r="D25" s="271" t="s">
        <v>114</v>
      </c>
      <c r="E25" s="264"/>
      <c r="F25" s="264"/>
      <c r="G25" s="70">
        <v>15</v>
      </c>
      <c r="H25" s="71">
        <f>H26+H27+H30+H31+H32</f>
        <v>541</v>
      </c>
      <c r="I25" s="72">
        <f t="shared" si="0"/>
        <v>1006.5999999999999</v>
      </c>
      <c r="J25" s="72">
        <f>J26+J27+J30+J31+J32</f>
        <v>635.9</v>
      </c>
      <c r="K25" s="265">
        <f>K26+K27+K30+K31+K32</f>
        <v>370.7</v>
      </c>
      <c r="L25" s="266"/>
      <c r="M25" s="267">
        <f t="shared" si="1"/>
        <v>1.8606284658040664</v>
      </c>
      <c r="N25" s="268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</row>
    <row r="26" spans="1:109" ht="35.25" customHeight="1" hidden="1">
      <c r="A26" s="68"/>
      <c r="B26" s="68"/>
      <c r="C26" s="68"/>
      <c r="D26" s="68" t="s">
        <v>115</v>
      </c>
      <c r="E26" s="270" t="s">
        <v>116</v>
      </c>
      <c r="F26" s="270"/>
      <c r="G26" s="70">
        <v>16</v>
      </c>
      <c r="H26" s="71">
        <v>0</v>
      </c>
      <c r="I26" s="72">
        <f t="shared" si="0"/>
        <v>0</v>
      </c>
      <c r="J26" s="71">
        <v>0</v>
      </c>
      <c r="K26" s="269">
        <v>0</v>
      </c>
      <c r="L26" s="269"/>
      <c r="M26" s="267" t="e">
        <f t="shared" si="1"/>
        <v>#DIV/0!</v>
      </c>
      <c r="N26" s="268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</row>
    <row r="27" spans="1:109" ht="30" customHeight="1" hidden="1">
      <c r="A27" s="68"/>
      <c r="B27" s="68"/>
      <c r="C27" s="68"/>
      <c r="D27" s="68" t="s">
        <v>117</v>
      </c>
      <c r="E27" s="263" t="s">
        <v>118</v>
      </c>
      <c r="F27" s="264"/>
      <c r="G27" s="70">
        <v>17</v>
      </c>
      <c r="H27" s="71">
        <f>H28+H29</f>
        <v>0</v>
      </c>
      <c r="I27" s="72">
        <f t="shared" si="0"/>
        <v>0</v>
      </c>
      <c r="J27" s="72">
        <f>J28+J29</f>
        <v>0</v>
      </c>
      <c r="K27" s="265">
        <f>K28+K29</f>
        <v>0</v>
      </c>
      <c r="L27" s="266"/>
      <c r="M27" s="267" t="e">
        <f t="shared" si="1"/>
        <v>#DIV/0!</v>
      </c>
      <c r="N27" s="268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</row>
    <row r="28" spans="1:109" ht="23.25" customHeight="1" hidden="1">
      <c r="A28" s="68"/>
      <c r="B28" s="68"/>
      <c r="C28" s="68"/>
      <c r="D28" s="68"/>
      <c r="E28" s="273" t="s">
        <v>119</v>
      </c>
      <c r="F28" s="264"/>
      <c r="G28" s="70">
        <v>18</v>
      </c>
      <c r="H28" s="71">
        <v>0</v>
      </c>
      <c r="I28" s="72">
        <f t="shared" si="0"/>
        <v>0</v>
      </c>
      <c r="J28" s="71">
        <v>0</v>
      </c>
      <c r="K28" s="269">
        <v>0</v>
      </c>
      <c r="L28" s="269"/>
      <c r="M28" s="267" t="e">
        <f t="shared" si="1"/>
        <v>#DIV/0!</v>
      </c>
      <c r="N28" s="268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</row>
    <row r="29" spans="1:109" ht="21.75" customHeight="1" hidden="1">
      <c r="A29" s="68"/>
      <c r="B29" s="68"/>
      <c r="C29" s="68"/>
      <c r="D29" s="68"/>
      <c r="E29" s="273" t="s">
        <v>120</v>
      </c>
      <c r="F29" s="264"/>
      <c r="G29" s="70">
        <v>19</v>
      </c>
      <c r="H29" s="71">
        <v>0</v>
      </c>
      <c r="I29" s="72">
        <f t="shared" si="0"/>
        <v>0</v>
      </c>
      <c r="J29" s="71">
        <v>0</v>
      </c>
      <c r="K29" s="269">
        <v>0</v>
      </c>
      <c r="L29" s="269"/>
      <c r="M29" s="267" t="e">
        <f t="shared" si="1"/>
        <v>#DIV/0!</v>
      </c>
      <c r="N29" s="268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</row>
    <row r="30" spans="1:109" ht="30" customHeight="1">
      <c r="A30" s="68"/>
      <c r="B30" s="68"/>
      <c r="C30" s="68"/>
      <c r="D30" s="73" t="s">
        <v>121</v>
      </c>
      <c r="E30" s="263" t="s">
        <v>122</v>
      </c>
      <c r="F30" s="264"/>
      <c r="G30" s="70">
        <v>20</v>
      </c>
      <c r="H30" s="71">
        <v>541</v>
      </c>
      <c r="I30" s="72">
        <f t="shared" si="0"/>
        <v>1006.5999999999999</v>
      </c>
      <c r="J30" s="71">
        <v>635.9</v>
      </c>
      <c r="K30" s="269">
        <v>370.7</v>
      </c>
      <c r="L30" s="269"/>
      <c r="M30" s="267">
        <f t="shared" si="1"/>
        <v>1.8606284658040664</v>
      </c>
      <c r="N30" s="268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</row>
    <row r="31" spans="1:109" ht="30" customHeight="1" hidden="1">
      <c r="A31" s="68"/>
      <c r="B31" s="68"/>
      <c r="C31" s="68"/>
      <c r="D31" s="73" t="s">
        <v>123</v>
      </c>
      <c r="E31" s="263" t="s">
        <v>124</v>
      </c>
      <c r="F31" s="264"/>
      <c r="G31" s="70">
        <v>21</v>
      </c>
      <c r="H31" s="71">
        <v>0</v>
      </c>
      <c r="I31" s="72">
        <f t="shared" si="0"/>
        <v>0</v>
      </c>
      <c r="J31" s="71">
        <v>0</v>
      </c>
      <c r="K31" s="269">
        <v>0</v>
      </c>
      <c r="L31" s="269"/>
      <c r="M31" s="267" t="e">
        <f t="shared" si="1"/>
        <v>#DIV/0!</v>
      </c>
      <c r="N31" s="268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</row>
    <row r="32" spans="1:109" ht="26.25" customHeight="1" hidden="1">
      <c r="A32" s="68"/>
      <c r="B32" s="68"/>
      <c r="C32" s="68"/>
      <c r="D32" s="73" t="s">
        <v>123</v>
      </c>
      <c r="E32" s="263" t="s">
        <v>102</v>
      </c>
      <c r="F32" s="264"/>
      <c r="G32" s="70">
        <v>22</v>
      </c>
      <c r="H32" s="71">
        <v>0</v>
      </c>
      <c r="I32" s="72">
        <f t="shared" si="0"/>
        <v>0</v>
      </c>
      <c r="J32" s="71">
        <v>0</v>
      </c>
      <c r="K32" s="269">
        <v>0</v>
      </c>
      <c r="L32" s="269"/>
      <c r="M32" s="267" t="e">
        <f t="shared" si="1"/>
        <v>#DIV/0!</v>
      </c>
      <c r="N32" s="268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</row>
    <row r="33" spans="1:109" s="67" customFormat="1" ht="32.25" customHeight="1">
      <c r="A33" s="63"/>
      <c r="B33" s="64">
        <v>2</v>
      </c>
      <c r="C33" s="75"/>
      <c r="D33" s="274" t="s">
        <v>125</v>
      </c>
      <c r="E33" s="258"/>
      <c r="F33" s="258"/>
      <c r="G33" s="14">
        <v>23</v>
      </c>
      <c r="H33" s="65">
        <f>H34+H35+H36+H37+H38</f>
        <v>66</v>
      </c>
      <c r="I33" s="66">
        <f t="shared" si="0"/>
        <v>50</v>
      </c>
      <c r="J33" s="66">
        <v>30</v>
      </c>
      <c r="K33" s="259">
        <f>K34+K35+K36+K37+K38</f>
        <v>20</v>
      </c>
      <c r="L33" s="260"/>
      <c r="M33" s="267">
        <f t="shared" si="1"/>
        <v>0.7575757575757576</v>
      </c>
      <c r="N33" s="268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</row>
    <row r="34" spans="1:14" ht="22.5" customHeight="1" hidden="1">
      <c r="A34" s="68"/>
      <c r="B34" s="68"/>
      <c r="C34" s="68" t="s">
        <v>51</v>
      </c>
      <c r="D34" s="271" t="s">
        <v>126</v>
      </c>
      <c r="E34" s="264"/>
      <c r="F34" s="264"/>
      <c r="G34" s="70">
        <v>24</v>
      </c>
      <c r="H34" s="71">
        <v>0</v>
      </c>
      <c r="I34" s="72">
        <f t="shared" si="0"/>
        <v>0</v>
      </c>
      <c r="J34" s="71">
        <v>0</v>
      </c>
      <c r="K34" s="269">
        <v>0</v>
      </c>
      <c r="L34" s="269"/>
      <c r="M34" s="267" t="e">
        <f t="shared" si="1"/>
        <v>#DIV/0!</v>
      </c>
      <c r="N34" s="268"/>
    </row>
    <row r="35" spans="1:14" ht="29.25" customHeight="1" hidden="1">
      <c r="A35" s="68"/>
      <c r="B35" s="73"/>
      <c r="C35" s="68" t="s">
        <v>59</v>
      </c>
      <c r="D35" s="271" t="s">
        <v>127</v>
      </c>
      <c r="E35" s="264"/>
      <c r="F35" s="264"/>
      <c r="G35" s="70">
        <v>25</v>
      </c>
      <c r="H35" s="71">
        <v>0</v>
      </c>
      <c r="I35" s="72">
        <f t="shared" si="0"/>
        <v>0</v>
      </c>
      <c r="J35" s="72">
        <v>0</v>
      </c>
      <c r="K35" s="265">
        <v>0</v>
      </c>
      <c r="L35" s="275"/>
      <c r="M35" s="267" t="e">
        <f t="shared" si="1"/>
        <v>#DIV/0!</v>
      </c>
      <c r="N35" s="268"/>
    </row>
    <row r="36" spans="1:14" ht="31.5" customHeight="1" hidden="1">
      <c r="A36" s="68"/>
      <c r="B36" s="73"/>
      <c r="C36" s="68" t="s">
        <v>61</v>
      </c>
      <c r="D36" s="271" t="s">
        <v>128</v>
      </c>
      <c r="E36" s="264"/>
      <c r="F36" s="264"/>
      <c r="G36" s="70">
        <v>26</v>
      </c>
      <c r="H36" s="71">
        <v>0</v>
      </c>
      <c r="I36" s="72">
        <f t="shared" si="0"/>
        <v>0</v>
      </c>
      <c r="J36" s="72">
        <v>0</v>
      </c>
      <c r="K36" s="265">
        <v>0</v>
      </c>
      <c r="L36" s="275"/>
      <c r="M36" s="267" t="e">
        <f t="shared" si="1"/>
        <v>#DIV/0!</v>
      </c>
      <c r="N36" s="268"/>
    </row>
    <row r="37" spans="1:14" ht="18" customHeight="1">
      <c r="A37" s="68"/>
      <c r="B37" s="73"/>
      <c r="C37" s="73" t="s">
        <v>63</v>
      </c>
      <c r="D37" s="271" t="s">
        <v>129</v>
      </c>
      <c r="E37" s="264"/>
      <c r="F37" s="264"/>
      <c r="G37" s="70">
        <v>27</v>
      </c>
      <c r="H37" s="71">
        <v>66</v>
      </c>
      <c r="I37" s="72">
        <f t="shared" si="0"/>
        <v>40</v>
      </c>
      <c r="J37" s="72">
        <v>20</v>
      </c>
      <c r="K37" s="265">
        <v>20</v>
      </c>
      <c r="L37" s="275"/>
      <c r="M37" s="267">
        <f t="shared" si="1"/>
        <v>0.6060606060606061</v>
      </c>
      <c r="N37" s="268"/>
    </row>
    <row r="38" spans="1:14" ht="25.5" customHeight="1" hidden="1">
      <c r="A38" s="68"/>
      <c r="B38" s="73"/>
      <c r="C38" s="73" t="s">
        <v>65</v>
      </c>
      <c r="D38" s="271" t="s">
        <v>130</v>
      </c>
      <c r="E38" s="264"/>
      <c r="F38" s="264"/>
      <c r="G38" s="70">
        <v>28</v>
      </c>
      <c r="H38" s="71">
        <v>0</v>
      </c>
      <c r="I38" s="72">
        <f t="shared" si="0"/>
        <v>0</v>
      </c>
      <c r="J38" s="72">
        <v>0</v>
      </c>
      <c r="K38" s="265">
        <v>0</v>
      </c>
      <c r="L38" s="275"/>
      <c r="M38" s="267" t="e">
        <f t="shared" si="1"/>
        <v>#DIV/0!</v>
      </c>
      <c r="N38" s="268"/>
    </row>
    <row r="39" spans="1:14" s="50" customFormat="1" ht="18.75" customHeight="1">
      <c r="A39" s="77"/>
      <c r="B39" s="78">
        <v>3</v>
      </c>
      <c r="C39" s="78"/>
      <c r="D39" s="276" t="s">
        <v>12</v>
      </c>
      <c r="E39" s="277"/>
      <c r="F39" s="277"/>
      <c r="G39" s="79">
        <v>29</v>
      </c>
      <c r="H39" s="80">
        <v>0</v>
      </c>
      <c r="I39" s="81">
        <f t="shared" si="0"/>
        <v>0</v>
      </c>
      <c r="J39" s="82">
        <v>0</v>
      </c>
      <c r="K39" s="278">
        <v>0</v>
      </c>
      <c r="L39" s="279"/>
      <c r="M39" s="280">
        <v>0</v>
      </c>
      <c r="N39" s="281"/>
    </row>
    <row r="40" spans="1:14" s="86" customFormat="1" ht="25.5" customHeight="1">
      <c r="A40" s="59" t="s">
        <v>13</v>
      </c>
      <c r="B40" s="282" t="s">
        <v>131</v>
      </c>
      <c r="C40" s="283"/>
      <c r="D40" s="283"/>
      <c r="E40" s="283"/>
      <c r="F40" s="283"/>
      <c r="G40" s="83">
        <v>30</v>
      </c>
      <c r="H40" s="84">
        <f>H41+H141+H149</f>
        <v>10852</v>
      </c>
      <c r="I40" s="85">
        <f t="shared" si="0"/>
        <v>15064.55</v>
      </c>
      <c r="J40" s="85">
        <f>J41+J141+J151</f>
        <v>12285.9</v>
      </c>
      <c r="K40" s="284">
        <f>K41+K141+K149</f>
        <v>2778.65</v>
      </c>
      <c r="L40" s="285"/>
      <c r="M40" s="286">
        <f t="shared" si="1"/>
        <v>1.3881819019535568</v>
      </c>
      <c r="N40" s="287"/>
    </row>
    <row r="41" spans="1:14" s="67" customFormat="1" ht="46.5" customHeight="1">
      <c r="A41" s="63"/>
      <c r="B41" s="75">
        <v>1</v>
      </c>
      <c r="C41" s="257" t="s">
        <v>132</v>
      </c>
      <c r="D41" s="258"/>
      <c r="E41" s="258"/>
      <c r="F41" s="258"/>
      <c r="G41" s="38">
        <v>31</v>
      </c>
      <c r="H41" s="65">
        <f>H42+H90+H97+H126</f>
        <v>10800</v>
      </c>
      <c r="I41" s="66">
        <f t="shared" si="0"/>
        <v>14999.55</v>
      </c>
      <c r="J41" s="66">
        <f>J42+J90+J97+J126</f>
        <v>12245.9</v>
      </c>
      <c r="K41" s="259">
        <f>K42+K90+K97+K126</f>
        <v>2753.65</v>
      </c>
      <c r="L41" s="260"/>
      <c r="M41" s="261">
        <f t="shared" si="1"/>
        <v>1.3888472222222221</v>
      </c>
      <c r="N41" s="262"/>
    </row>
    <row r="42" spans="1:14" ht="42.75" customHeight="1">
      <c r="A42" s="68"/>
      <c r="B42" s="68"/>
      <c r="C42" s="263" t="s">
        <v>133</v>
      </c>
      <c r="D42" s="264"/>
      <c r="E42" s="264"/>
      <c r="F42" s="264"/>
      <c r="G42" s="87">
        <v>32</v>
      </c>
      <c r="H42" s="71">
        <f>H43+H51+H57</f>
        <v>4064</v>
      </c>
      <c r="I42" s="72">
        <f t="shared" si="0"/>
        <v>7027.049999999999</v>
      </c>
      <c r="J42" s="72">
        <f>J43+J51+J57</f>
        <v>5883.4</v>
      </c>
      <c r="K42" s="265">
        <f>K43+K51+K57</f>
        <v>1143.65</v>
      </c>
      <c r="L42" s="266"/>
      <c r="M42" s="267">
        <f t="shared" si="1"/>
        <v>1.7290969488188974</v>
      </c>
      <c r="N42" s="268"/>
    </row>
    <row r="43" spans="1:14" ht="42.75" customHeight="1">
      <c r="A43" s="68"/>
      <c r="B43" s="68"/>
      <c r="C43" s="68" t="s">
        <v>134</v>
      </c>
      <c r="D43" s="263" t="s">
        <v>135</v>
      </c>
      <c r="E43" s="264"/>
      <c r="F43" s="264"/>
      <c r="G43" s="87">
        <v>33</v>
      </c>
      <c r="H43" s="71">
        <f>H44+H45+H48+H49+H50</f>
        <v>1445</v>
      </c>
      <c r="I43" s="72">
        <f t="shared" si="0"/>
        <v>2308.8</v>
      </c>
      <c r="J43" s="72">
        <f>J44+J45+J48+J49+J50</f>
        <v>1774.3000000000002</v>
      </c>
      <c r="K43" s="265">
        <f>K44+K45+K48+K49+K50</f>
        <v>534.5</v>
      </c>
      <c r="L43" s="266"/>
      <c r="M43" s="267">
        <f t="shared" si="1"/>
        <v>1.5977854671280278</v>
      </c>
      <c r="N43" s="268"/>
    </row>
    <row r="44" spans="1:14" ht="25.5" customHeight="1" hidden="1">
      <c r="A44" s="68"/>
      <c r="B44" s="68"/>
      <c r="C44" s="68" t="s">
        <v>51</v>
      </c>
      <c r="D44" s="263" t="s">
        <v>136</v>
      </c>
      <c r="E44" s="264"/>
      <c r="F44" s="264"/>
      <c r="G44" s="87">
        <v>34</v>
      </c>
      <c r="H44" s="71">
        <v>0</v>
      </c>
      <c r="I44" s="72">
        <f t="shared" si="0"/>
        <v>0</v>
      </c>
      <c r="J44" s="72">
        <v>0</v>
      </c>
      <c r="K44" s="265">
        <v>0</v>
      </c>
      <c r="L44" s="275"/>
      <c r="M44" s="267" t="e">
        <f t="shared" si="1"/>
        <v>#DIV/0!</v>
      </c>
      <c r="N44" s="268"/>
    </row>
    <row r="45" spans="1:14" ht="25.5" customHeight="1">
      <c r="A45" s="68"/>
      <c r="B45" s="68"/>
      <c r="C45" s="68" t="s">
        <v>59</v>
      </c>
      <c r="D45" s="263" t="s">
        <v>137</v>
      </c>
      <c r="E45" s="264"/>
      <c r="F45" s="264"/>
      <c r="G45" s="87">
        <v>35</v>
      </c>
      <c r="H45" s="71">
        <f>H46+H47</f>
        <v>618</v>
      </c>
      <c r="I45" s="72">
        <f t="shared" si="0"/>
        <v>1462</v>
      </c>
      <c r="J45" s="72">
        <f>J46+J47</f>
        <v>1071.4</v>
      </c>
      <c r="K45" s="288">
        <f>K46+K47</f>
        <v>390.59999999999997</v>
      </c>
      <c r="L45" s="289"/>
      <c r="M45" s="267">
        <f t="shared" si="1"/>
        <v>2.365695792880259</v>
      </c>
      <c r="N45" s="268"/>
    </row>
    <row r="46" spans="1:14" ht="25.5" customHeight="1">
      <c r="A46" s="68"/>
      <c r="B46" s="68"/>
      <c r="C46" s="68"/>
      <c r="D46" s="68" t="s">
        <v>138</v>
      </c>
      <c r="E46" s="263" t="s">
        <v>139</v>
      </c>
      <c r="F46" s="264"/>
      <c r="G46" s="87">
        <v>36</v>
      </c>
      <c r="H46" s="71">
        <v>88</v>
      </c>
      <c r="I46" s="72">
        <f t="shared" si="0"/>
        <v>306.9</v>
      </c>
      <c r="J46" s="72">
        <v>287.2</v>
      </c>
      <c r="K46" s="265">
        <v>19.7</v>
      </c>
      <c r="L46" s="275"/>
      <c r="M46" s="267">
        <f t="shared" si="1"/>
        <v>3.4875</v>
      </c>
      <c r="N46" s="268"/>
    </row>
    <row r="47" spans="1:14" ht="25.5" customHeight="1">
      <c r="A47" s="68"/>
      <c r="B47" s="68"/>
      <c r="C47" s="68"/>
      <c r="D47" s="68" t="s">
        <v>140</v>
      </c>
      <c r="E47" s="263" t="s">
        <v>141</v>
      </c>
      <c r="F47" s="264"/>
      <c r="G47" s="87">
        <v>37</v>
      </c>
      <c r="H47" s="71">
        <v>530</v>
      </c>
      <c r="I47" s="72">
        <f t="shared" si="0"/>
        <v>1155.1</v>
      </c>
      <c r="J47" s="72">
        <v>784.2</v>
      </c>
      <c r="K47" s="265">
        <v>370.9</v>
      </c>
      <c r="L47" s="275"/>
      <c r="M47" s="267">
        <f t="shared" si="1"/>
        <v>2.179433962264151</v>
      </c>
      <c r="N47" s="268"/>
    </row>
    <row r="48" spans="1:14" ht="25.5" customHeight="1">
      <c r="A48" s="68"/>
      <c r="B48" s="68"/>
      <c r="C48" s="73" t="s">
        <v>61</v>
      </c>
      <c r="D48" s="263" t="s">
        <v>142</v>
      </c>
      <c r="E48" s="264"/>
      <c r="F48" s="264"/>
      <c r="G48" s="87">
        <v>38</v>
      </c>
      <c r="H48" s="71">
        <v>170</v>
      </c>
      <c r="I48" s="72">
        <f t="shared" si="0"/>
        <v>59.5</v>
      </c>
      <c r="J48" s="72">
        <v>34</v>
      </c>
      <c r="K48" s="265">
        <v>25.5</v>
      </c>
      <c r="L48" s="275"/>
      <c r="M48" s="267">
        <f t="shared" si="1"/>
        <v>0.35</v>
      </c>
      <c r="N48" s="268"/>
    </row>
    <row r="49" spans="1:14" ht="25.5" customHeight="1">
      <c r="A49" s="68"/>
      <c r="B49" s="68"/>
      <c r="C49" s="73" t="s">
        <v>63</v>
      </c>
      <c r="D49" s="263" t="s">
        <v>143</v>
      </c>
      <c r="E49" s="264"/>
      <c r="F49" s="264"/>
      <c r="G49" s="87">
        <v>39</v>
      </c>
      <c r="H49" s="71">
        <v>657</v>
      </c>
      <c r="I49" s="72">
        <f t="shared" si="0"/>
        <v>787.3</v>
      </c>
      <c r="J49" s="72">
        <v>668.9</v>
      </c>
      <c r="K49" s="265">
        <v>118.4</v>
      </c>
      <c r="L49" s="275"/>
      <c r="M49" s="267">
        <f t="shared" si="1"/>
        <v>1.1983257229832571</v>
      </c>
      <c r="N49" s="268"/>
    </row>
    <row r="50" spans="1:14" ht="25.5" customHeight="1" hidden="1">
      <c r="A50" s="68"/>
      <c r="B50" s="68"/>
      <c r="C50" s="73" t="s">
        <v>65</v>
      </c>
      <c r="D50" s="263" t="s">
        <v>144</v>
      </c>
      <c r="E50" s="264"/>
      <c r="F50" s="264"/>
      <c r="G50" s="87">
        <v>40</v>
      </c>
      <c r="H50" s="71">
        <v>0</v>
      </c>
      <c r="I50" s="72">
        <f t="shared" si="0"/>
        <v>0</v>
      </c>
      <c r="J50" s="72">
        <v>0</v>
      </c>
      <c r="K50" s="265">
        <v>0</v>
      </c>
      <c r="L50" s="275"/>
      <c r="M50" s="267" t="e">
        <f t="shared" si="1"/>
        <v>#DIV/0!</v>
      </c>
      <c r="N50" s="268"/>
    </row>
    <row r="51" spans="1:14" ht="35.25" customHeight="1">
      <c r="A51" s="68"/>
      <c r="B51" s="68"/>
      <c r="C51" s="73" t="s">
        <v>145</v>
      </c>
      <c r="D51" s="263" t="s">
        <v>146</v>
      </c>
      <c r="E51" s="264"/>
      <c r="F51" s="264"/>
      <c r="G51" s="87">
        <v>41</v>
      </c>
      <c r="H51" s="71">
        <f>H52+H53+H56</f>
        <v>1415</v>
      </c>
      <c r="I51" s="71">
        <f>I52+I53+I56</f>
        <v>2604.5</v>
      </c>
      <c r="J51" s="71">
        <f>J52+J53+J56</f>
        <v>2604.5</v>
      </c>
      <c r="K51" s="265">
        <f>K52+K53+K56</f>
        <v>0</v>
      </c>
      <c r="L51" s="266"/>
      <c r="M51" s="267">
        <f t="shared" si="1"/>
        <v>1.8406360424028267</v>
      </c>
      <c r="N51" s="268"/>
    </row>
    <row r="52" spans="1:14" ht="25.5" customHeight="1">
      <c r="A52" s="68"/>
      <c r="B52" s="68"/>
      <c r="C52" s="73" t="s">
        <v>51</v>
      </c>
      <c r="D52" s="263" t="s">
        <v>147</v>
      </c>
      <c r="E52" s="264"/>
      <c r="F52" s="264"/>
      <c r="G52" s="87">
        <v>42</v>
      </c>
      <c r="H52" s="71">
        <v>1347</v>
      </c>
      <c r="I52" s="72">
        <f>J52+K52</f>
        <v>2444.5</v>
      </c>
      <c r="J52" s="72">
        <v>2444.5</v>
      </c>
      <c r="K52" s="265">
        <v>0</v>
      </c>
      <c r="L52" s="275"/>
      <c r="M52" s="267">
        <f t="shared" si="1"/>
        <v>1.8147735708982926</v>
      </c>
      <c r="N52" s="268"/>
    </row>
    <row r="53" spans="1:14" ht="25.5" customHeight="1" hidden="1">
      <c r="A53" s="68"/>
      <c r="B53" s="68"/>
      <c r="C53" s="73" t="s">
        <v>59</v>
      </c>
      <c r="D53" s="263" t="s">
        <v>148</v>
      </c>
      <c r="E53" s="264"/>
      <c r="F53" s="264"/>
      <c r="G53" s="87">
        <v>43</v>
      </c>
      <c r="H53" s="71">
        <f>H54+H55</f>
        <v>0</v>
      </c>
      <c r="I53" s="72">
        <f>J53+K53</f>
        <v>0</v>
      </c>
      <c r="J53" s="72">
        <f>J54+J55</f>
        <v>0</v>
      </c>
      <c r="K53" s="265">
        <f>K54+K55</f>
        <v>0</v>
      </c>
      <c r="L53" s="266"/>
      <c r="M53" s="267" t="e">
        <f t="shared" si="1"/>
        <v>#DIV/0!</v>
      </c>
      <c r="N53" s="268"/>
    </row>
    <row r="54" spans="1:14" ht="25.5" customHeight="1" hidden="1">
      <c r="A54" s="68"/>
      <c r="B54" s="68"/>
      <c r="C54" s="68"/>
      <c r="D54" s="68" t="s">
        <v>138</v>
      </c>
      <c r="E54" s="270" t="s">
        <v>149</v>
      </c>
      <c r="F54" s="264"/>
      <c r="G54" s="87">
        <v>44</v>
      </c>
      <c r="H54" s="71">
        <v>0</v>
      </c>
      <c r="I54" s="72">
        <f>J54+K54</f>
        <v>0</v>
      </c>
      <c r="J54" s="72">
        <v>0</v>
      </c>
      <c r="K54" s="265">
        <v>0</v>
      </c>
      <c r="L54" s="275"/>
      <c r="M54" s="267" t="e">
        <f t="shared" si="1"/>
        <v>#DIV/0!</v>
      </c>
      <c r="N54" s="268"/>
    </row>
    <row r="55" spans="1:14" ht="25.5" customHeight="1" hidden="1">
      <c r="A55" s="68"/>
      <c r="B55" s="68"/>
      <c r="C55" s="68"/>
      <c r="D55" s="68" t="s">
        <v>140</v>
      </c>
      <c r="E55" s="270" t="s">
        <v>150</v>
      </c>
      <c r="F55" s="264"/>
      <c r="G55" s="87">
        <v>45</v>
      </c>
      <c r="H55" s="71">
        <v>0</v>
      </c>
      <c r="I55" s="72">
        <f>J55+K55</f>
        <v>0</v>
      </c>
      <c r="J55" s="72">
        <v>0</v>
      </c>
      <c r="K55" s="265">
        <v>0</v>
      </c>
      <c r="L55" s="275"/>
      <c r="M55" s="267" t="e">
        <f t="shared" si="1"/>
        <v>#DIV/0!</v>
      </c>
      <c r="N55" s="268"/>
    </row>
    <row r="56" spans="1:14" ht="21" customHeight="1">
      <c r="A56" s="68"/>
      <c r="B56" s="68"/>
      <c r="C56" s="73" t="s">
        <v>61</v>
      </c>
      <c r="D56" s="263" t="s">
        <v>151</v>
      </c>
      <c r="E56" s="264"/>
      <c r="F56" s="264"/>
      <c r="G56" s="87">
        <v>46</v>
      </c>
      <c r="H56" s="71">
        <v>68</v>
      </c>
      <c r="I56" s="72">
        <f>J56+K56</f>
        <v>160</v>
      </c>
      <c r="J56" s="72">
        <v>160</v>
      </c>
      <c r="K56" s="265">
        <v>0</v>
      </c>
      <c r="L56" s="275"/>
      <c r="M56" s="267">
        <f t="shared" si="1"/>
        <v>2.3529411764705883</v>
      </c>
      <c r="N56" s="268"/>
    </row>
    <row r="57" spans="1:14" ht="48.75" customHeight="1">
      <c r="A57" s="68"/>
      <c r="B57" s="68"/>
      <c r="C57" s="73" t="s">
        <v>152</v>
      </c>
      <c r="D57" s="263" t="s">
        <v>153</v>
      </c>
      <c r="E57" s="264"/>
      <c r="F57" s="264"/>
      <c r="G57" s="87">
        <v>47</v>
      </c>
      <c r="H57" s="71">
        <f>H58+H59+H61+H68+H73+H74+H78+H79+H80+H89</f>
        <v>1204</v>
      </c>
      <c r="I57" s="71">
        <f>I58+I59+I61+I68+I73+I74+I78+I79+I80+I89</f>
        <v>2113.75</v>
      </c>
      <c r="J57" s="71">
        <f>J58+J59+J61+J68+J73+J74+J78+J79+J80+J89</f>
        <v>1504.6</v>
      </c>
      <c r="K57" s="265">
        <f>K58+K59+K61+K68+K73+K74+K78+K79+K80+K89</f>
        <v>609.15</v>
      </c>
      <c r="L57" s="266"/>
      <c r="M57" s="267">
        <f t="shared" si="1"/>
        <v>1.7556063122923589</v>
      </c>
      <c r="N57" s="268"/>
    </row>
    <row r="58" spans="1:14" ht="25.5" customHeight="1">
      <c r="A58" s="68"/>
      <c r="B58" s="68"/>
      <c r="C58" s="73" t="s">
        <v>51</v>
      </c>
      <c r="D58" s="263" t="s">
        <v>154</v>
      </c>
      <c r="E58" s="264"/>
      <c r="F58" s="264"/>
      <c r="G58" s="87">
        <v>48</v>
      </c>
      <c r="H58" s="71">
        <v>538</v>
      </c>
      <c r="I58" s="72">
        <f>J58+K58</f>
        <v>1218</v>
      </c>
      <c r="J58" s="72">
        <v>792.6</v>
      </c>
      <c r="K58" s="265">
        <v>425.4</v>
      </c>
      <c r="L58" s="275"/>
      <c r="M58" s="267">
        <f t="shared" si="1"/>
        <v>2.2639405204460967</v>
      </c>
      <c r="N58" s="268"/>
    </row>
    <row r="59" spans="1:14" ht="28.5" customHeight="1">
      <c r="A59" s="68"/>
      <c r="B59" s="68"/>
      <c r="C59" s="73" t="s">
        <v>59</v>
      </c>
      <c r="D59" s="290" t="s">
        <v>155</v>
      </c>
      <c r="E59" s="291"/>
      <c r="F59" s="289"/>
      <c r="G59" s="87">
        <v>49</v>
      </c>
      <c r="H59" s="71">
        <f>H60</f>
        <v>0</v>
      </c>
      <c r="I59" s="71">
        <f>I60</f>
        <v>93</v>
      </c>
      <c r="J59" s="71">
        <f>J60</f>
        <v>60</v>
      </c>
      <c r="K59" s="265">
        <f>K60</f>
        <v>33</v>
      </c>
      <c r="L59" s="275"/>
      <c r="M59" s="267">
        <v>0</v>
      </c>
      <c r="N59" s="268"/>
    </row>
    <row r="60" spans="1:14" ht="30" customHeight="1">
      <c r="A60" s="68"/>
      <c r="B60" s="68"/>
      <c r="C60" s="68"/>
      <c r="D60" s="68" t="s">
        <v>138</v>
      </c>
      <c r="E60" s="263" t="s">
        <v>156</v>
      </c>
      <c r="F60" s="264"/>
      <c r="G60" s="70">
        <v>50</v>
      </c>
      <c r="H60" s="71">
        <v>0</v>
      </c>
      <c r="I60" s="72">
        <f aca="true" t="shared" si="2" ref="I60:I123">J60+K60</f>
        <v>93</v>
      </c>
      <c r="J60" s="72">
        <v>60</v>
      </c>
      <c r="K60" s="265">
        <v>33</v>
      </c>
      <c r="L60" s="275"/>
      <c r="M60" s="267">
        <v>0</v>
      </c>
      <c r="N60" s="268"/>
    </row>
    <row r="61" spans="1:14" ht="57" customHeight="1">
      <c r="A61" s="68"/>
      <c r="B61" s="68"/>
      <c r="C61" s="68" t="s">
        <v>61</v>
      </c>
      <c r="D61" s="263" t="s">
        <v>157</v>
      </c>
      <c r="E61" s="264"/>
      <c r="F61" s="264"/>
      <c r="G61" s="70">
        <v>51</v>
      </c>
      <c r="H61" s="71">
        <f>H62+H64</f>
        <v>20</v>
      </c>
      <c r="I61" s="72">
        <f t="shared" si="2"/>
        <v>21</v>
      </c>
      <c r="J61" s="72">
        <f>J62+J64</f>
        <v>15.5</v>
      </c>
      <c r="K61" s="265">
        <f>K62+K64</f>
        <v>5.5</v>
      </c>
      <c r="L61" s="266"/>
      <c r="M61" s="267">
        <f t="shared" si="1"/>
        <v>1.05</v>
      </c>
      <c r="N61" s="268"/>
    </row>
    <row r="62" spans="1:14" ht="57" customHeight="1">
      <c r="A62" s="68"/>
      <c r="B62" s="68"/>
      <c r="C62" s="68"/>
      <c r="D62" s="69" t="s">
        <v>105</v>
      </c>
      <c r="E62" s="263" t="s">
        <v>158</v>
      </c>
      <c r="F62" s="264"/>
      <c r="G62" s="70">
        <v>52</v>
      </c>
      <c r="H62" s="71">
        <f>H63</f>
        <v>4</v>
      </c>
      <c r="I62" s="72">
        <f t="shared" si="2"/>
        <v>0</v>
      </c>
      <c r="J62" s="72">
        <f>J63</f>
        <v>0</v>
      </c>
      <c r="K62" s="265">
        <f>K63</f>
        <v>0</v>
      </c>
      <c r="L62" s="266"/>
      <c r="M62" s="267">
        <f t="shared" si="1"/>
        <v>0</v>
      </c>
      <c r="N62" s="268"/>
    </row>
    <row r="63" spans="1:14" ht="29.25" customHeight="1">
      <c r="A63" s="68"/>
      <c r="B63" s="68"/>
      <c r="C63" s="73"/>
      <c r="D63" s="73"/>
      <c r="E63" s="263" t="s">
        <v>159</v>
      </c>
      <c r="F63" s="264"/>
      <c r="G63" s="70">
        <v>53</v>
      </c>
      <c r="H63" s="71">
        <v>4</v>
      </c>
      <c r="I63" s="72">
        <f t="shared" si="2"/>
        <v>0</v>
      </c>
      <c r="J63" s="72">
        <v>0</v>
      </c>
      <c r="K63" s="265">
        <v>0</v>
      </c>
      <c r="L63" s="275"/>
      <c r="M63" s="267">
        <f t="shared" si="1"/>
        <v>0</v>
      </c>
      <c r="N63" s="268"/>
    </row>
    <row r="64" spans="1:14" ht="24" customHeight="1">
      <c r="A64" s="68"/>
      <c r="B64" s="68"/>
      <c r="C64" s="73"/>
      <c r="D64" s="73" t="s">
        <v>107</v>
      </c>
      <c r="E64" s="263" t="s">
        <v>160</v>
      </c>
      <c r="F64" s="264"/>
      <c r="G64" s="70">
        <v>54</v>
      </c>
      <c r="H64" s="71">
        <f>H65+H66+H67</f>
        <v>16</v>
      </c>
      <c r="I64" s="72">
        <f t="shared" si="2"/>
        <v>21</v>
      </c>
      <c r="J64" s="72">
        <f>J65+J66+J67</f>
        <v>15.5</v>
      </c>
      <c r="K64" s="265">
        <f>K65+K66+K67</f>
        <v>5.5</v>
      </c>
      <c r="L64" s="266"/>
      <c r="M64" s="267">
        <f t="shared" si="1"/>
        <v>1.3125</v>
      </c>
      <c r="N64" s="268"/>
    </row>
    <row r="65" spans="1:14" ht="43.5" customHeight="1" hidden="1">
      <c r="A65" s="68"/>
      <c r="B65" s="68"/>
      <c r="C65" s="73"/>
      <c r="D65" s="73"/>
      <c r="E65" s="270" t="s">
        <v>161</v>
      </c>
      <c r="F65" s="264"/>
      <c r="G65" s="70">
        <v>55</v>
      </c>
      <c r="H65" s="71">
        <v>0</v>
      </c>
      <c r="I65" s="72">
        <f t="shared" si="2"/>
        <v>0</v>
      </c>
      <c r="J65" s="72">
        <v>0</v>
      </c>
      <c r="K65" s="265">
        <v>0</v>
      </c>
      <c r="L65" s="275"/>
      <c r="M65" s="267" t="e">
        <f t="shared" si="1"/>
        <v>#DIV/0!</v>
      </c>
      <c r="N65" s="268"/>
    </row>
    <row r="66" spans="1:14" ht="54.75" customHeight="1" hidden="1">
      <c r="A66" s="68"/>
      <c r="B66" s="68"/>
      <c r="C66" s="68"/>
      <c r="D66" s="68"/>
      <c r="E66" s="270" t="s">
        <v>162</v>
      </c>
      <c r="F66" s="264"/>
      <c r="G66" s="70">
        <v>56</v>
      </c>
      <c r="H66" s="71">
        <v>0</v>
      </c>
      <c r="I66" s="72">
        <f t="shared" si="2"/>
        <v>0</v>
      </c>
      <c r="J66" s="72">
        <v>0</v>
      </c>
      <c r="K66" s="265">
        <v>0</v>
      </c>
      <c r="L66" s="275"/>
      <c r="M66" s="267" t="e">
        <f t="shared" si="1"/>
        <v>#DIV/0!</v>
      </c>
      <c r="N66" s="268"/>
    </row>
    <row r="67" spans="1:14" ht="12.75">
      <c r="A67" s="68"/>
      <c r="B67" s="68"/>
      <c r="C67" s="68"/>
      <c r="D67" s="68"/>
      <c r="E67" s="270" t="s">
        <v>163</v>
      </c>
      <c r="F67" s="264"/>
      <c r="G67" s="70">
        <v>57</v>
      </c>
      <c r="H67" s="71">
        <v>16</v>
      </c>
      <c r="I67" s="72">
        <f t="shared" si="2"/>
        <v>21</v>
      </c>
      <c r="J67" s="72">
        <v>15.5</v>
      </c>
      <c r="K67" s="265">
        <v>5.5</v>
      </c>
      <c r="L67" s="275"/>
      <c r="M67" s="267">
        <f t="shared" si="1"/>
        <v>1.3125</v>
      </c>
      <c r="N67" s="268"/>
    </row>
    <row r="68" spans="1:14" ht="32.25" customHeight="1" hidden="1">
      <c r="A68" s="68"/>
      <c r="B68" s="68"/>
      <c r="C68" s="68" t="s">
        <v>63</v>
      </c>
      <c r="D68" s="263" t="s">
        <v>164</v>
      </c>
      <c r="E68" s="264"/>
      <c r="F68" s="264"/>
      <c r="G68" s="70">
        <v>58</v>
      </c>
      <c r="H68" s="71">
        <f>H69+H70+H71+H72</f>
        <v>0</v>
      </c>
      <c r="I68" s="72">
        <f t="shared" si="2"/>
        <v>0</v>
      </c>
      <c r="J68" s="72">
        <f>J69+J70+J71+J72</f>
        <v>0</v>
      </c>
      <c r="K68" s="265">
        <f>K69+K70+K71+K72</f>
        <v>0</v>
      </c>
      <c r="L68" s="266"/>
      <c r="M68" s="267" t="e">
        <f t="shared" si="1"/>
        <v>#DIV/0!</v>
      </c>
      <c r="N68" s="268"/>
    </row>
    <row r="69" spans="1:14" ht="24.75" customHeight="1" hidden="1">
      <c r="A69" s="68"/>
      <c r="B69" s="68"/>
      <c r="C69" s="68"/>
      <c r="D69" s="68" t="s">
        <v>165</v>
      </c>
      <c r="E69" s="292" t="s">
        <v>166</v>
      </c>
      <c r="F69" s="264"/>
      <c r="G69" s="70">
        <v>59</v>
      </c>
      <c r="H69" s="71">
        <v>0</v>
      </c>
      <c r="I69" s="72">
        <f t="shared" si="2"/>
        <v>0</v>
      </c>
      <c r="J69" s="72">
        <v>0</v>
      </c>
      <c r="K69" s="265">
        <v>0</v>
      </c>
      <c r="L69" s="275"/>
      <c r="M69" s="267" t="e">
        <f t="shared" si="1"/>
        <v>#DIV/0!</v>
      </c>
      <c r="N69" s="268"/>
    </row>
    <row r="70" spans="1:14" ht="25.5" customHeight="1" hidden="1">
      <c r="A70" s="68"/>
      <c r="B70" s="68"/>
      <c r="C70" s="68"/>
      <c r="D70" s="68" t="s">
        <v>167</v>
      </c>
      <c r="E70" s="292" t="s">
        <v>168</v>
      </c>
      <c r="F70" s="264"/>
      <c r="G70" s="70">
        <v>60</v>
      </c>
      <c r="H70" s="71">
        <v>0</v>
      </c>
      <c r="I70" s="72">
        <f t="shared" si="2"/>
        <v>0</v>
      </c>
      <c r="J70" s="72">
        <v>0</v>
      </c>
      <c r="K70" s="265">
        <v>0</v>
      </c>
      <c r="L70" s="275"/>
      <c r="M70" s="267" t="e">
        <f t="shared" si="1"/>
        <v>#DIV/0!</v>
      </c>
      <c r="N70" s="268"/>
    </row>
    <row r="71" spans="1:14" ht="30.75" customHeight="1" hidden="1">
      <c r="A71" s="68"/>
      <c r="B71" s="68"/>
      <c r="C71" s="68"/>
      <c r="D71" s="68" t="s">
        <v>169</v>
      </c>
      <c r="E71" s="292" t="s">
        <v>170</v>
      </c>
      <c r="F71" s="264"/>
      <c r="G71" s="70">
        <v>61</v>
      </c>
      <c r="H71" s="71">
        <v>0</v>
      </c>
      <c r="I71" s="72">
        <f t="shared" si="2"/>
        <v>0</v>
      </c>
      <c r="J71" s="72">
        <v>0</v>
      </c>
      <c r="K71" s="265">
        <v>0</v>
      </c>
      <c r="L71" s="275"/>
      <c r="M71" s="267" t="e">
        <f t="shared" si="1"/>
        <v>#DIV/0!</v>
      </c>
      <c r="N71" s="268"/>
    </row>
    <row r="72" spans="1:14" ht="12.75" hidden="1">
      <c r="A72" s="68"/>
      <c r="B72" s="68"/>
      <c r="C72" s="68"/>
      <c r="D72" s="73" t="s">
        <v>171</v>
      </c>
      <c r="E72" s="292" t="s">
        <v>172</v>
      </c>
      <c r="F72" s="264"/>
      <c r="G72" s="70">
        <v>62</v>
      </c>
      <c r="H72" s="71">
        <v>0</v>
      </c>
      <c r="I72" s="72">
        <f t="shared" si="2"/>
        <v>0</v>
      </c>
      <c r="J72" s="72">
        <v>0</v>
      </c>
      <c r="K72" s="265">
        <v>0</v>
      </c>
      <c r="L72" s="275"/>
      <c r="M72" s="267" t="e">
        <f t="shared" si="1"/>
        <v>#DIV/0!</v>
      </c>
      <c r="N72" s="268"/>
    </row>
    <row r="73" spans="1:14" ht="12.75">
      <c r="A73" s="68"/>
      <c r="B73" s="68"/>
      <c r="C73" s="68" t="s">
        <v>65</v>
      </c>
      <c r="D73" s="292" t="s">
        <v>173</v>
      </c>
      <c r="E73" s="264"/>
      <c r="F73" s="264"/>
      <c r="G73" s="70">
        <v>63</v>
      </c>
      <c r="H73" s="71">
        <v>18</v>
      </c>
      <c r="I73" s="72">
        <f t="shared" si="2"/>
        <v>10</v>
      </c>
      <c r="J73" s="72">
        <v>10</v>
      </c>
      <c r="K73" s="265">
        <v>0</v>
      </c>
      <c r="L73" s="275"/>
      <c r="M73" s="267">
        <f t="shared" si="1"/>
        <v>0.5555555555555556</v>
      </c>
      <c r="N73" s="268"/>
    </row>
    <row r="74" spans="1:14" ht="12.75">
      <c r="A74" s="68"/>
      <c r="B74" s="68"/>
      <c r="C74" s="68" t="s">
        <v>113</v>
      </c>
      <c r="D74" s="292" t="s">
        <v>174</v>
      </c>
      <c r="E74" s="264"/>
      <c r="F74" s="264"/>
      <c r="G74" s="70">
        <v>64</v>
      </c>
      <c r="H74" s="71">
        <v>48</v>
      </c>
      <c r="I74" s="72">
        <f t="shared" si="2"/>
        <v>35</v>
      </c>
      <c r="J74" s="72">
        <v>25</v>
      </c>
      <c r="K74" s="265">
        <v>10</v>
      </c>
      <c r="L74" s="275"/>
      <c r="M74" s="267">
        <f t="shared" si="1"/>
        <v>0.7291666666666666</v>
      </c>
      <c r="N74" s="268"/>
    </row>
    <row r="75" spans="1:14" ht="12.75">
      <c r="A75" s="68"/>
      <c r="B75" s="68"/>
      <c r="C75" s="68"/>
      <c r="D75" s="293" t="s">
        <v>175</v>
      </c>
      <c r="E75" s="264"/>
      <c r="F75" s="264"/>
      <c r="G75" s="70">
        <v>65</v>
      </c>
      <c r="H75" s="71">
        <f>H76+H77</f>
        <v>48</v>
      </c>
      <c r="I75" s="72">
        <f t="shared" si="2"/>
        <v>35</v>
      </c>
      <c r="J75" s="72">
        <f>J76+J77</f>
        <v>25</v>
      </c>
      <c r="K75" s="288">
        <f>K76+K77</f>
        <v>10</v>
      </c>
      <c r="L75" s="294"/>
      <c r="M75" s="267">
        <f t="shared" si="1"/>
        <v>0.7291666666666666</v>
      </c>
      <c r="N75" s="268"/>
    </row>
    <row r="76" spans="1:14" ht="12.75">
      <c r="A76" s="68"/>
      <c r="B76" s="68"/>
      <c r="C76" s="68"/>
      <c r="D76" s="293" t="s">
        <v>176</v>
      </c>
      <c r="E76" s="264"/>
      <c r="F76" s="264"/>
      <c r="G76" s="70">
        <v>66</v>
      </c>
      <c r="H76" s="71">
        <v>34</v>
      </c>
      <c r="I76" s="72">
        <v>30</v>
      </c>
      <c r="J76" s="72">
        <v>20</v>
      </c>
      <c r="K76" s="265">
        <v>5</v>
      </c>
      <c r="L76" s="275"/>
      <c r="M76" s="267">
        <f t="shared" si="1"/>
        <v>0.8823529411764706</v>
      </c>
      <c r="N76" s="268"/>
    </row>
    <row r="77" spans="1:14" ht="12.75">
      <c r="A77" s="68"/>
      <c r="B77" s="68"/>
      <c r="C77" s="68"/>
      <c r="D77" s="293" t="s">
        <v>177</v>
      </c>
      <c r="E77" s="264"/>
      <c r="F77" s="264"/>
      <c r="G77" s="70">
        <v>67</v>
      </c>
      <c r="H77" s="71">
        <v>14</v>
      </c>
      <c r="I77" s="72">
        <v>5</v>
      </c>
      <c r="J77" s="72">
        <v>5</v>
      </c>
      <c r="K77" s="265">
        <v>5</v>
      </c>
      <c r="L77" s="275"/>
      <c r="M77" s="267">
        <f t="shared" si="1"/>
        <v>0.35714285714285715</v>
      </c>
      <c r="N77" s="268"/>
    </row>
    <row r="78" spans="1:14" ht="12.75">
      <c r="A78" s="68"/>
      <c r="B78" s="68"/>
      <c r="C78" s="68" t="s">
        <v>178</v>
      </c>
      <c r="D78" s="292" t="s">
        <v>179</v>
      </c>
      <c r="E78" s="264"/>
      <c r="F78" s="264"/>
      <c r="G78" s="70">
        <v>68</v>
      </c>
      <c r="H78" s="71">
        <v>119</v>
      </c>
      <c r="I78" s="72">
        <f t="shared" si="2"/>
        <v>123</v>
      </c>
      <c r="J78" s="72">
        <v>82</v>
      </c>
      <c r="K78" s="265">
        <v>41</v>
      </c>
      <c r="L78" s="275"/>
      <c r="M78" s="267">
        <f aca="true" t="shared" si="3" ref="M78:M141">I78/H78</f>
        <v>1.0336134453781514</v>
      </c>
      <c r="N78" s="268"/>
    </row>
    <row r="79" spans="1:14" ht="12.75">
      <c r="A79" s="68"/>
      <c r="B79" s="68"/>
      <c r="C79" s="68" t="s">
        <v>180</v>
      </c>
      <c r="D79" s="292" t="s">
        <v>181</v>
      </c>
      <c r="E79" s="264"/>
      <c r="F79" s="264"/>
      <c r="G79" s="70">
        <v>69</v>
      </c>
      <c r="H79" s="71">
        <v>11</v>
      </c>
      <c r="I79" s="72">
        <f t="shared" si="2"/>
        <v>16</v>
      </c>
      <c r="J79" s="72">
        <v>12</v>
      </c>
      <c r="K79" s="265">
        <v>4</v>
      </c>
      <c r="L79" s="275"/>
      <c r="M79" s="267">
        <f t="shared" si="3"/>
        <v>1.4545454545454546</v>
      </c>
      <c r="N79" s="268"/>
    </row>
    <row r="80" spans="1:14" ht="24" customHeight="1">
      <c r="A80" s="68"/>
      <c r="B80" s="68"/>
      <c r="C80" s="68" t="s">
        <v>182</v>
      </c>
      <c r="D80" s="292" t="s">
        <v>183</v>
      </c>
      <c r="E80" s="264"/>
      <c r="F80" s="264"/>
      <c r="G80" s="70">
        <v>70</v>
      </c>
      <c r="H80" s="71">
        <f>H81+H82+H83+H84+H86+H87+H88</f>
        <v>450</v>
      </c>
      <c r="I80" s="72">
        <f t="shared" si="2"/>
        <v>522.75</v>
      </c>
      <c r="J80" s="72">
        <f>J81+J82+J83+J84+J86+J87+J88</f>
        <v>504.5</v>
      </c>
      <c r="K80" s="265">
        <f>K81+K82+K83+K84+K86+K87+K88</f>
        <v>18.25</v>
      </c>
      <c r="L80" s="266"/>
      <c r="M80" s="267">
        <f t="shared" si="3"/>
        <v>1.1616666666666666</v>
      </c>
      <c r="N80" s="268"/>
    </row>
    <row r="81" spans="1:14" ht="12.75">
      <c r="A81" s="68"/>
      <c r="B81" s="68"/>
      <c r="C81" s="68"/>
      <c r="D81" s="68" t="s">
        <v>184</v>
      </c>
      <c r="E81" s="292" t="s">
        <v>185</v>
      </c>
      <c r="F81" s="264"/>
      <c r="G81" s="70">
        <v>71</v>
      </c>
      <c r="H81" s="71">
        <v>400</v>
      </c>
      <c r="I81" s="72">
        <f t="shared" si="2"/>
        <v>450</v>
      </c>
      <c r="J81" s="72">
        <v>450</v>
      </c>
      <c r="K81" s="265">
        <v>0</v>
      </c>
      <c r="L81" s="275"/>
      <c r="M81" s="267">
        <f t="shared" si="3"/>
        <v>1.125</v>
      </c>
      <c r="N81" s="268"/>
    </row>
    <row r="82" spans="1:14" ht="25.5" customHeight="1" hidden="1">
      <c r="A82" s="68"/>
      <c r="B82" s="68"/>
      <c r="C82" s="68"/>
      <c r="D82" s="68" t="s">
        <v>186</v>
      </c>
      <c r="E82" s="292" t="s">
        <v>187</v>
      </c>
      <c r="F82" s="264"/>
      <c r="G82" s="70">
        <v>72</v>
      </c>
      <c r="H82" s="71">
        <v>0</v>
      </c>
      <c r="I82" s="72">
        <f t="shared" si="2"/>
        <v>0</v>
      </c>
      <c r="J82" s="72">
        <v>0</v>
      </c>
      <c r="K82" s="265">
        <v>0</v>
      </c>
      <c r="L82" s="275"/>
      <c r="M82" s="267" t="e">
        <f t="shared" si="3"/>
        <v>#DIV/0!</v>
      </c>
      <c r="N82" s="268"/>
    </row>
    <row r="83" spans="1:14" ht="12.75">
      <c r="A83" s="68"/>
      <c r="B83" s="68"/>
      <c r="C83" s="68"/>
      <c r="D83" s="68" t="s">
        <v>188</v>
      </c>
      <c r="E83" s="292" t="s">
        <v>189</v>
      </c>
      <c r="F83" s="264"/>
      <c r="G83" s="70">
        <v>73</v>
      </c>
      <c r="H83" s="71">
        <v>50</v>
      </c>
      <c r="I83" s="72">
        <f t="shared" si="2"/>
        <v>71.5</v>
      </c>
      <c r="J83" s="72">
        <v>54.5</v>
      </c>
      <c r="K83" s="265">
        <v>17</v>
      </c>
      <c r="L83" s="275"/>
      <c r="M83" s="267">
        <f t="shared" si="3"/>
        <v>1.43</v>
      </c>
      <c r="N83" s="268"/>
    </row>
    <row r="84" spans="1:14" ht="12.75" hidden="1">
      <c r="A84" s="68"/>
      <c r="B84" s="68"/>
      <c r="C84" s="68"/>
      <c r="D84" s="73" t="s">
        <v>190</v>
      </c>
      <c r="E84" s="292" t="s">
        <v>191</v>
      </c>
      <c r="F84" s="264"/>
      <c r="G84" s="70">
        <v>74</v>
      </c>
      <c r="H84" s="71">
        <v>0</v>
      </c>
      <c r="I84" s="72">
        <f t="shared" si="2"/>
        <v>0</v>
      </c>
      <c r="J84" s="72">
        <v>0</v>
      </c>
      <c r="K84" s="265">
        <v>0</v>
      </c>
      <c r="L84" s="275"/>
      <c r="M84" s="267" t="e">
        <f t="shared" si="3"/>
        <v>#DIV/0!</v>
      </c>
      <c r="N84" s="268"/>
    </row>
    <row r="85" spans="1:14" ht="12.75" hidden="1">
      <c r="A85" s="68"/>
      <c r="B85" s="68"/>
      <c r="C85" s="68"/>
      <c r="D85" s="68"/>
      <c r="E85" s="293" t="s">
        <v>192</v>
      </c>
      <c r="F85" s="295"/>
      <c r="G85" s="70">
        <v>75</v>
      </c>
      <c r="H85" s="71">
        <v>0</v>
      </c>
      <c r="I85" s="72">
        <f t="shared" si="2"/>
        <v>0</v>
      </c>
      <c r="J85" s="72">
        <v>0</v>
      </c>
      <c r="K85" s="265">
        <v>0</v>
      </c>
      <c r="L85" s="275"/>
      <c r="M85" s="267" t="e">
        <f t="shared" si="3"/>
        <v>#DIV/0!</v>
      </c>
      <c r="N85" s="268"/>
    </row>
    <row r="86" spans="1:14" ht="12.75" hidden="1">
      <c r="A86" s="68"/>
      <c r="B86" s="68"/>
      <c r="C86" s="68"/>
      <c r="D86" s="73" t="s">
        <v>193</v>
      </c>
      <c r="E86" s="292" t="s">
        <v>194</v>
      </c>
      <c r="F86" s="264"/>
      <c r="G86" s="70">
        <v>76</v>
      </c>
      <c r="H86" s="71">
        <v>0</v>
      </c>
      <c r="I86" s="72">
        <f t="shared" si="2"/>
        <v>0</v>
      </c>
      <c r="J86" s="72">
        <v>0</v>
      </c>
      <c r="K86" s="265">
        <v>0</v>
      </c>
      <c r="L86" s="275"/>
      <c r="M86" s="267" t="e">
        <f t="shared" si="3"/>
        <v>#DIV/0!</v>
      </c>
      <c r="N86" s="268"/>
    </row>
    <row r="87" spans="1:14" ht="45.75" customHeight="1" hidden="1">
      <c r="A87" s="68"/>
      <c r="B87" s="68"/>
      <c r="C87" s="68"/>
      <c r="D87" s="73" t="s">
        <v>195</v>
      </c>
      <c r="E87" s="292" t="s">
        <v>196</v>
      </c>
      <c r="F87" s="264"/>
      <c r="G87" s="70">
        <v>77</v>
      </c>
      <c r="H87" s="71">
        <v>0</v>
      </c>
      <c r="I87" s="72">
        <f t="shared" si="2"/>
        <v>0</v>
      </c>
      <c r="J87" s="72">
        <v>0</v>
      </c>
      <c r="K87" s="265">
        <v>0</v>
      </c>
      <c r="L87" s="275"/>
      <c r="M87" s="267" t="e">
        <f t="shared" si="3"/>
        <v>#DIV/0!</v>
      </c>
      <c r="N87" s="268"/>
    </row>
    <row r="88" spans="1:14" ht="12.75" customHeight="1">
      <c r="A88" s="68"/>
      <c r="B88" s="68"/>
      <c r="C88" s="68"/>
      <c r="D88" s="73" t="s">
        <v>197</v>
      </c>
      <c r="E88" s="292" t="s">
        <v>198</v>
      </c>
      <c r="F88" s="264"/>
      <c r="G88" s="70">
        <v>78</v>
      </c>
      <c r="H88" s="71">
        <v>0</v>
      </c>
      <c r="I88" s="72">
        <f t="shared" si="2"/>
        <v>1.25</v>
      </c>
      <c r="J88" s="72">
        <v>0</v>
      </c>
      <c r="K88" s="265">
        <v>1.25</v>
      </c>
      <c r="L88" s="275"/>
      <c r="M88" s="267">
        <v>0</v>
      </c>
      <c r="N88" s="268"/>
    </row>
    <row r="89" spans="1:14" ht="12.75" customHeight="1">
      <c r="A89" s="68"/>
      <c r="B89" s="68"/>
      <c r="C89" s="68" t="s">
        <v>199</v>
      </c>
      <c r="D89" s="292" t="s">
        <v>66</v>
      </c>
      <c r="E89" s="264"/>
      <c r="F89" s="264"/>
      <c r="G89" s="70">
        <v>79</v>
      </c>
      <c r="H89" s="71">
        <v>0</v>
      </c>
      <c r="I89" s="72">
        <f t="shared" si="2"/>
        <v>75</v>
      </c>
      <c r="J89" s="72">
        <v>3</v>
      </c>
      <c r="K89" s="265">
        <v>72</v>
      </c>
      <c r="L89" s="275"/>
      <c r="M89" s="267">
        <v>0</v>
      </c>
      <c r="N89" s="268"/>
    </row>
    <row r="90" spans="1:14" ht="53.25" customHeight="1">
      <c r="A90" s="68"/>
      <c r="B90" s="68"/>
      <c r="C90" s="292" t="s">
        <v>200</v>
      </c>
      <c r="D90" s="264"/>
      <c r="E90" s="264"/>
      <c r="F90" s="264"/>
      <c r="G90" s="70">
        <v>80</v>
      </c>
      <c r="H90" s="71">
        <f>H91+H92+H93+H94+H95+H96</f>
        <v>25</v>
      </c>
      <c r="I90" s="72">
        <f t="shared" si="2"/>
        <v>457.5</v>
      </c>
      <c r="J90" s="72">
        <f>J91+J92+J93+J94+J95+J96</f>
        <v>447.5</v>
      </c>
      <c r="K90" s="265">
        <f>K91+K92+K93+K94+K95+K96</f>
        <v>10</v>
      </c>
      <c r="L90" s="266"/>
      <c r="M90" s="267">
        <f t="shared" si="3"/>
        <v>18.3</v>
      </c>
      <c r="N90" s="268"/>
    </row>
    <row r="91" spans="1:14" ht="24.75" customHeight="1" hidden="1">
      <c r="A91" s="68"/>
      <c r="B91" s="68"/>
      <c r="C91" s="68" t="s">
        <v>51</v>
      </c>
      <c r="D91" s="292" t="s">
        <v>201</v>
      </c>
      <c r="E91" s="295"/>
      <c r="F91" s="295"/>
      <c r="G91" s="70">
        <v>81</v>
      </c>
      <c r="H91" s="71">
        <v>0</v>
      </c>
      <c r="I91" s="72">
        <f t="shared" si="2"/>
        <v>0</v>
      </c>
      <c r="J91" s="72">
        <v>0</v>
      </c>
      <c r="K91" s="265">
        <v>0</v>
      </c>
      <c r="L91" s="275"/>
      <c r="M91" s="267" t="e">
        <f t="shared" si="3"/>
        <v>#DIV/0!</v>
      </c>
      <c r="N91" s="268"/>
    </row>
    <row r="92" spans="1:14" ht="27" customHeight="1" hidden="1">
      <c r="A92" s="68"/>
      <c r="B92" s="68"/>
      <c r="C92" s="68" t="s">
        <v>59</v>
      </c>
      <c r="D92" s="292" t="s">
        <v>202</v>
      </c>
      <c r="E92" s="264"/>
      <c r="F92" s="264"/>
      <c r="G92" s="70">
        <v>82</v>
      </c>
      <c r="H92" s="71">
        <v>0</v>
      </c>
      <c r="I92" s="72">
        <f t="shared" si="2"/>
        <v>0</v>
      </c>
      <c r="J92" s="72">
        <v>0</v>
      </c>
      <c r="K92" s="265">
        <v>0</v>
      </c>
      <c r="L92" s="275"/>
      <c r="M92" s="267" t="e">
        <f t="shared" si="3"/>
        <v>#DIV/0!</v>
      </c>
      <c r="N92" s="268"/>
    </row>
    <row r="93" spans="1:14" ht="12.75" hidden="1">
      <c r="A93" s="68"/>
      <c r="B93" s="68"/>
      <c r="C93" s="73" t="s">
        <v>61</v>
      </c>
      <c r="D93" s="292" t="s">
        <v>203</v>
      </c>
      <c r="E93" s="264"/>
      <c r="F93" s="264"/>
      <c r="G93" s="70">
        <v>83</v>
      </c>
      <c r="H93" s="71">
        <v>0</v>
      </c>
      <c r="I93" s="72">
        <f t="shared" si="2"/>
        <v>0</v>
      </c>
      <c r="J93" s="72">
        <v>0</v>
      </c>
      <c r="K93" s="265">
        <v>0</v>
      </c>
      <c r="L93" s="275"/>
      <c r="M93" s="267" t="e">
        <f t="shared" si="3"/>
        <v>#DIV/0!</v>
      </c>
      <c r="N93" s="268"/>
    </row>
    <row r="94" spans="1:14" ht="12.75" hidden="1">
      <c r="A94" s="68"/>
      <c r="B94" s="68"/>
      <c r="C94" s="73" t="s">
        <v>63</v>
      </c>
      <c r="D94" s="292" t="s">
        <v>204</v>
      </c>
      <c r="E94" s="264"/>
      <c r="F94" s="264"/>
      <c r="G94" s="70">
        <v>84</v>
      </c>
      <c r="H94" s="71">
        <v>0</v>
      </c>
      <c r="I94" s="72">
        <f t="shared" si="2"/>
        <v>0</v>
      </c>
      <c r="J94" s="72">
        <v>0</v>
      </c>
      <c r="K94" s="265">
        <v>0</v>
      </c>
      <c r="L94" s="275"/>
      <c r="M94" s="267" t="e">
        <f t="shared" si="3"/>
        <v>#DIV/0!</v>
      </c>
      <c r="N94" s="268"/>
    </row>
    <row r="95" spans="1:14" ht="12.75" hidden="1">
      <c r="A95" s="68"/>
      <c r="B95" s="68"/>
      <c r="C95" s="73" t="s">
        <v>65</v>
      </c>
      <c r="D95" s="292" t="s">
        <v>205</v>
      </c>
      <c r="E95" s="264"/>
      <c r="F95" s="264"/>
      <c r="G95" s="70">
        <v>85</v>
      </c>
      <c r="H95" s="71">
        <v>0</v>
      </c>
      <c r="I95" s="72">
        <f t="shared" si="2"/>
        <v>0</v>
      </c>
      <c r="J95" s="72">
        <v>0</v>
      </c>
      <c r="K95" s="265">
        <v>0</v>
      </c>
      <c r="L95" s="275"/>
      <c r="M95" s="267" t="e">
        <f t="shared" si="3"/>
        <v>#DIV/0!</v>
      </c>
      <c r="N95" s="268"/>
    </row>
    <row r="96" spans="1:14" ht="12.75">
      <c r="A96" s="68"/>
      <c r="B96" s="68"/>
      <c r="C96" s="73" t="s">
        <v>113</v>
      </c>
      <c r="D96" s="292" t="s">
        <v>206</v>
      </c>
      <c r="E96" s="264"/>
      <c r="F96" s="264"/>
      <c r="G96" s="70">
        <v>86</v>
      </c>
      <c r="H96" s="71">
        <v>25</v>
      </c>
      <c r="I96" s="72">
        <f t="shared" si="2"/>
        <v>457.5</v>
      </c>
      <c r="J96" s="72">
        <v>447.5</v>
      </c>
      <c r="K96" s="265">
        <v>10</v>
      </c>
      <c r="L96" s="275"/>
      <c r="M96" s="267">
        <f t="shared" si="3"/>
        <v>18.3</v>
      </c>
      <c r="N96" s="268"/>
    </row>
    <row r="97" spans="1:14" ht="32.25" customHeight="1">
      <c r="A97" s="68"/>
      <c r="B97" s="68"/>
      <c r="C97" s="292" t="s">
        <v>207</v>
      </c>
      <c r="D97" s="264"/>
      <c r="E97" s="264"/>
      <c r="F97" s="264"/>
      <c r="G97" s="70">
        <v>87</v>
      </c>
      <c r="H97" s="71">
        <f>H98+H102+H110+H114+H119</f>
        <v>5295</v>
      </c>
      <c r="I97" s="72">
        <f t="shared" si="2"/>
        <v>6212</v>
      </c>
      <c r="J97" s="72">
        <f>J98+J102+J110+J114+J119</f>
        <v>5135</v>
      </c>
      <c r="K97" s="265">
        <f>K98+K102+K110+K114+K119</f>
        <v>1077</v>
      </c>
      <c r="L97" s="266"/>
      <c r="M97" s="267">
        <f t="shared" si="3"/>
        <v>1.1731822474032105</v>
      </c>
      <c r="N97" s="268"/>
    </row>
    <row r="98" spans="1:14" ht="30" customHeight="1">
      <c r="A98" s="68"/>
      <c r="B98" s="68"/>
      <c r="C98" s="73" t="s">
        <v>22</v>
      </c>
      <c r="D98" s="292" t="s">
        <v>208</v>
      </c>
      <c r="E98" s="264"/>
      <c r="F98" s="264"/>
      <c r="G98" s="70">
        <v>88</v>
      </c>
      <c r="H98" s="71">
        <f>H99+H100+H101</f>
        <v>3861.5</v>
      </c>
      <c r="I98" s="72">
        <f t="shared" si="2"/>
        <v>4111</v>
      </c>
      <c r="J98" s="72">
        <f>J99+J100+J101</f>
        <v>3354.2</v>
      </c>
      <c r="K98" s="265">
        <f>K99+K100+K101</f>
        <v>756.8</v>
      </c>
      <c r="L98" s="266"/>
      <c r="M98" s="267">
        <f t="shared" si="3"/>
        <v>1.0646121973326428</v>
      </c>
      <c r="N98" s="268"/>
    </row>
    <row r="99" spans="1:14" ht="12.75">
      <c r="A99" s="68"/>
      <c r="B99" s="68"/>
      <c r="C99" s="68"/>
      <c r="D99" s="292" t="s">
        <v>209</v>
      </c>
      <c r="E99" s="264"/>
      <c r="F99" s="264"/>
      <c r="G99" s="70">
        <v>89</v>
      </c>
      <c r="H99" s="71">
        <v>3861.5</v>
      </c>
      <c r="I99" s="72">
        <f t="shared" si="2"/>
        <v>4062.9</v>
      </c>
      <c r="J99" s="72">
        <v>3315</v>
      </c>
      <c r="K99" s="265">
        <v>747.9</v>
      </c>
      <c r="L99" s="275"/>
      <c r="M99" s="267">
        <f t="shared" si="3"/>
        <v>1.0521558979671113</v>
      </c>
      <c r="N99" s="268"/>
    </row>
    <row r="100" spans="1:14" ht="34.5" customHeight="1" hidden="1">
      <c r="A100" s="68"/>
      <c r="B100" s="68"/>
      <c r="C100" s="68"/>
      <c r="D100" s="292" t="s">
        <v>210</v>
      </c>
      <c r="E100" s="264"/>
      <c r="F100" s="264"/>
      <c r="G100" s="70">
        <v>90</v>
      </c>
      <c r="H100" s="71">
        <v>0</v>
      </c>
      <c r="I100" s="72">
        <f t="shared" si="2"/>
        <v>0</v>
      </c>
      <c r="J100" s="72">
        <v>0</v>
      </c>
      <c r="K100" s="265">
        <v>0</v>
      </c>
      <c r="L100" s="275"/>
      <c r="M100" s="267" t="e">
        <f t="shared" si="3"/>
        <v>#DIV/0!</v>
      </c>
      <c r="N100" s="268"/>
    </row>
    <row r="101" spans="1:14" ht="12.75">
      <c r="A101" s="68"/>
      <c r="B101" s="68"/>
      <c r="C101" s="68"/>
      <c r="D101" s="292" t="s">
        <v>211</v>
      </c>
      <c r="E101" s="264"/>
      <c r="F101" s="264"/>
      <c r="G101" s="70">
        <v>91</v>
      </c>
      <c r="H101" s="71">
        <v>0</v>
      </c>
      <c r="I101" s="72">
        <f t="shared" si="2"/>
        <v>48.1</v>
      </c>
      <c r="J101" s="72">
        <v>39.2</v>
      </c>
      <c r="K101" s="265">
        <v>8.9</v>
      </c>
      <c r="L101" s="275"/>
      <c r="M101" s="267">
        <v>0</v>
      </c>
      <c r="N101" s="268"/>
    </row>
    <row r="102" spans="1:14" ht="30" customHeight="1">
      <c r="A102" s="68"/>
      <c r="B102" s="68"/>
      <c r="C102" s="68" t="s">
        <v>24</v>
      </c>
      <c r="D102" s="292" t="s">
        <v>212</v>
      </c>
      <c r="E102" s="264"/>
      <c r="F102" s="264"/>
      <c r="G102" s="70">
        <v>92</v>
      </c>
      <c r="H102" s="71">
        <f>H103+H106+H107+H108+H109</f>
        <v>331</v>
      </c>
      <c r="I102" s="72">
        <f t="shared" si="2"/>
        <v>320.9</v>
      </c>
      <c r="J102" s="72">
        <f>J103+J106+J107+J108+J109</f>
        <v>208.89999999999998</v>
      </c>
      <c r="K102" s="288">
        <f>K103+K106+K107+K108+K109</f>
        <v>112</v>
      </c>
      <c r="L102" s="289"/>
      <c r="M102" s="267">
        <f t="shared" si="3"/>
        <v>0.9694864048338367</v>
      </c>
      <c r="N102" s="268"/>
    </row>
    <row r="103" spans="1:14" ht="37.5" customHeight="1">
      <c r="A103" s="68"/>
      <c r="B103" s="68"/>
      <c r="C103" s="68"/>
      <c r="D103" s="292" t="s">
        <v>213</v>
      </c>
      <c r="E103" s="264"/>
      <c r="F103" s="264"/>
      <c r="G103" s="70">
        <v>93</v>
      </c>
      <c r="H103" s="71">
        <f>H104+H105</f>
        <v>76</v>
      </c>
      <c r="I103" s="72">
        <f t="shared" si="2"/>
        <v>20</v>
      </c>
      <c r="J103" s="72">
        <f>J104+J105</f>
        <v>15.2</v>
      </c>
      <c r="K103" s="265">
        <f>K104+K105</f>
        <v>4.8</v>
      </c>
      <c r="L103" s="266"/>
      <c r="M103" s="267">
        <f t="shared" si="3"/>
        <v>0.2631578947368421</v>
      </c>
      <c r="N103" s="268"/>
    </row>
    <row r="104" spans="1:14" ht="26.25" customHeight="1" hidden="1">
      <c r="A104" s="68"/>
      <c r="B104" s="68"/>
      <c r="C104" s="68"/>
      <c r="D104" s="296" t="s">
        <v>214</v>
      </c>
      <c r="E104" s="297"/>
      <c r="F104" s="266"/>
      <c r="G104" s="70">
        <v>94</v>
      </c>
      <c r="H104" s="71">
        <v>0</v>
      </c>
      <c r="I104" s="72">
        <f t="shared" si="2"/>
        <v>0</v>
      </c>
      <c r="J104" s="72">
        <v>0</v>
      </c>
      <c r="K104" s="265">
        <v>0</v>
      </c>
      <c r="L104" s="275"/>
      <c r="M104" s="267" t="e">
        <f t="shared" si="3"/>
        <v>#DIV/0!</v>
      </c>
      <c r="N104" s="268"/>
    </row>
    <row r="105" spans="1:14" ht="33" customHeight="1">
      <c r="A105" s="68"/>
      <c r="B105" s="68"/>
      <c r="C105" s="68"/>
      <c r="D105" s="296" t="s">
        <v>215</v>
      </c>
      <c r="E105" s="297"/>
      <c r="F105" s="266"/>
      <c r="G105" s="70">
        <v>95</v>
      </c>
      <c r="H105" s="71">
        <v>76</v>
      </c>
      <c r="I105" s="72">
        <f t="shared" si="2"/>
        <v>20</v>
      </c>
      <c r="J105" s="72">
        <v>15.2</v>
      </c>
      <c r="K105" s="265">
        <v>4.8</v>
      </c>
      <c r="L105" s="275"/>
      <c r="M105" s="267">
        <f t="shared" si="3"/>
        <v>0.2631578947368421</v>
      </c>
      <c r="N105" s="268"/>
    </row>
    <row r="106" spans="1:14" ht="12.75">
      <c r="A106" s="68"/>
      <c r="B106" s="68"/>
      <c r="C106" s="68"/>
      <c r="D106" s="292" t="s">
        <v>216</v>
      </c>
      <c r="E106" s="264"/>
      <c r="F106" s="264"/>
      <c r="G106" s="70">
        <v>96</v>
      </c>
      <c r="H106" s="71">
        <v>255</v>
      </c>
      <c r="I106" s="72">
        <f t="shared" si="2"/>
        <v>300.9</v>
      </c>
      <c r="J106" s="72">
        <v>193.7</v>
      </c>
      <c r="K106" s="265">
        <v>107.2</v>
      </c>
      <c r="L106" s="275"/>
      <c r="M106" s="267">
        <f t="shared" si="3"/>
        <v>1.18</v>
      </c>
      <c r="N106" s="268"/>
    </row>
    <row r="107" spans="1:14" ht="12.75" hidden="1">
      <c r="A107" s="68"/>
      <c r="B107" s="68"/>
      <c r="C107" s="68"/>
      <c r="D107" s="292" t="s">
        <v>217</v>
      </c>
      <c r="E107" s="264"/>
      <c r="F107" s="264"/>
      <c r="G107" s="70">
        <v>97</v>
      </c>
      <c r="H107" s="71">
        <v>0</v>
      </c>
      <c r="I107" s="72">
        <f t="shared" si="2"/>
        <v>0</v>
      </c>
      <c r="J107" s="72">
        <v>0</v>
      </c>
      <c r="K107" s="265">
        <v>0</v>
      </c>
      <c r="L107" s="275"/>
      <c r="M107" s="267" t="e">
        <f t="shared" si="3"/>
        <v>#DIV/0!</v>
      </c>
      <c r="N107" s="268"/>
    </row>
    <row r="108" spans="1:14" ht="28.5" customHeight="1" hidden="1">
      <c r="A108" s="68"/>
      <c r="B108" s="68"/>
      <c r="C108" s="68"/>
      <c r="D108" s="292" t="s">
        <v>218</v>
      </c>
      <c r="E108" s="264"/>
      <c r="F108" s="264"/>
      <c r="G108" s="70">
        <v>98</v>
      </c>
      <c r="H108" s="71">
        <v>0</v>
      </c>
      <c r="I108" s="72">
        <f t="shared" si="2"/>
        <v>0</v>
      </c>
      <c r="J108" s="72">
        <v>0</v>
      </c>
      <c r="K108" s="265">
        <v>0</v>
      </c>
      <c r="L108" s="275"/>
      <c r="M108" s="267" t="e">
        <f t="shared" si="3"/>
        <v>#DIV/0!</v>
      </c>
      <c r="N108" s="268"/>
    </row>
    <row r="109" spans="1:14" ht="12.75" hidden="1">
      <c r="A109" s="68"/>
      <c r="B109" s="68"/>
      <c r="C109" s="68"/>
      <c r="D109" s="292" t="s">
        <v>219</v>
      </c>
      <c r="E109" s="264"/>
      <c r="F109" s="264"/>
      <c r="G109" s="70">
        <v>99</v>
      </c>
      <c r="H109" s="71">
        <v>0</v>
      </c>
      <c r="I109" s="72">
        <f t="shared" si="2"/>
        <v>0</v>
      </c>
      <c r="J109" s="72">
        <v>0</v>
      </c>
      <c r="K109" s="265">
        <v>0</v>
      </c>
      <c r="L109" s="275"/>
      <c r="M109" s="267" t="e">
        <f t="shared" si="3"/>
        <v>#DIV/0!</v>
      </c>
      <c r="N109" s="268"/>
    </row>
    <row r="110" spans="1:14" ht="30.75" customHeight="1">
      <c r="A110" s="68"/>
      <c r="B110" s="68"/>
      <c r="C110" s="68" t="s">
        <v>26</v>
      </c>
      <c r="D110" s="292" t="s">
        <v>220</v>
      </c>
      <c r="E110" s="264"/>
      <c r="F110" s="264"/>
      <c r="G110" s="70">
        <v>100</v>
      </c>
      <c r="H110" s="71">
        <f>H111+H112+H113</f>
        <v>0</v>
      </c>
      <c r="I110" s="72">
        <f t="shared" si="2"/>
        <v>648.7</v>
      </c>
      <c r="J110" s="72">
        <f>J111+J112+J113</f>
        <v>648.7</v>
      </c>
      <c r="K110" s="265">
        <f>K111+K112+K113</f>
        <v>0</v>
      </c>
      <c r="L110" s="266"/>
      <c r="M110" s="267">
        <v>0</v>
      </c>
      <c r="N110" s="268"/>
    </row>
    <row r="111" spans="1:14" ht="28.5" customHeight="1" hidden="1">
      <c r="A111" s="68"/>
      <c r="B111" s="68"/>
      <c r="C111" s="68"/>
      <c r="D111" s="292" t="s">
        <v>221</v>
      </c>
      <c r="E111" s="264"/>
      <c r="F111" s="264"/>
      <c r="G111" s="70">
        <v>101</v>
      </c>
      <c r="H111" s="71">
        <v>0</v>
      </c>
      <c r="I111" s="72">
        <f t="shared" si="2"/>
        <v>0</v>
      </c>
      <c r="J111" s="72">
        <v>0</v>
      </c>
      <c r="K111" s="265">
        <v>0</v>
      </c>
      <c r="L111" s="275"/>
      <c r="M111" s="267" t="e">
        <f t="shared" si="3"/>
        <v>#DIV/0!</v>
      </c>
      <c r="N111" s="268"/>
    </row>
    <row r="112" spans="1:14" ht="27" customHeight="1">
      <c r="A112" s="68"/>
      <c r="B112" s="68"/>
      <c r="C112" s="68"/>
      <c r="D112" s="292" t="s">
        <v>222</v>
      </c>
      <c r="E112" s="264"/>
      <c r="F112" s="264"/>
      <c r="G112" s="70">
        <v>102</v>
      </c>
      <c r="H112" s="71">
        <v>0</v>
      </c>
      <c r="I112" s="72">
        <f t="shared" si="2"/>
        <v>648.7</v>
      </c>
      <c r="J112" s="72">
        <v>648.7</v>
      </c>
      <c r="K112" s="265">
        <v>0</v>
      </c>
      <c r="L112" s="275"/>
      <c r="M112" s="267">
        <v>0</v>
      </c>
      <c r="N112" s="268"/>
    </row>
    <row r="113" spans="1:14" ht="36.75" customHeight="1" hidden="1">
      <c r="A113" s="68"/>
      <c r="B113" s="68"/>
      <c r="C113" s="68"/>
      <c r="D113" s="292" t="s">
        <v>223</v>
      </c>
      <c r="E113" s="264"/>
      <c r="F113" s="264"/>
      <c r="G113" s="70">
        <v>103</v>
      </c>
      <c r="H113" s="71">
        <v>0</v>
      </c>
      <c r="I113" s="72">
        <f t="shared" si="2"/>
        <v>0</v>
      </c>
      <c r="J113" s="72">
        <v>0</v>
      </c>
      <c r="K113" s="265">
        <v>0</v>
      </c>
      <c r="L113" s="275"/>
      <c r="M113" s="267" t="e">
        <f t="shared" si="3"/>
        <v>#DIV/0!</v>
      </c>
      <c r="N113" s="268"/>
    </row>
    <row r="114" spans="1:14" ht="60.75" customHeight="1" hidden="1">
      <c r="A114" s="68"/>
      <c r="B114" s="68"/>
      <c r="C114" s="68" t="s">
        <v>29</v>
      </c>
      <c r="D114" s="292" t="s">
        <v>224</v>
      </c>
      <c r="E114" s="264"/>
      <c r="F114" s="264"/>
      <c r="G114" s="70">
        <v>104</v>
      </c>
      <c r="H114" s="71">
        <f>H115+H116+H117+H118</f>
        <v>0</v>
      </c>
      <c r="I114" s="72">
        <f t="shared" si="2"/>
        <v>0</v>
      </c>
      <c r="J114" s="72">
        <f>J115+J116+J117+J118</f>
        <v>0</v>
      </c>
      <c r="K114" s="265">
        <f>K115+K116+K117+K118</f>
        <v>0</v>
      </c>
      <c r="L114" s="266"/>
      <c r="M114" s="267" t="e">
        <f t="shared" si="3"/>
        <v>#DIV/0!</v>
      </c>
      <c r="N114" s="268"/>
    </row>
    <row r="115" spans="1:14" ht="12.75" hidden="1">
      <c r="A115" s="68"/>
      <c r="B115" s="68"/>
      <c r="C115" s="68"/>
      <c r="D115" s="292" t="s">
        <v>225</v>
      </c>
      <c r="E115" s="264"/>
      <c r="F115" s="264"/>
      <c r="G115" s="70">
        <v>105</v>
      </c>
      <c r="H115" s="71">
        <v>0</v>
      </c>
      <c r="I115" s="72">
        <f t="shared" si="2"/>
        <v>0</v>
      </c>
      <c r="J115" s="72">
        <v>0</v>
      </c>
      <c r="K115" s="265">
        <v>0</v>
      </c>
      <c r="L115" s="275"/>
      <c r="M115" s="267" t="e">
        <f t="shared" si="3"/>
        <v>#DIV/0!</v>
      </c>
      <c r="N115" s="268"/>
    </row>
    <row r="116" spans="1:14" ht="12.75" hidden="1">
      <c r="A116" s="68"/>
      <c r="B116" s="68"/>
      <c r="C116" s="68"/>
      <c r="D116" s="292" t="s">
        <v>226</v>
      </c>
      <c r="E116" s="264"/>
      <c r="F116" s="264"/>
      <c r="G116" s="70">
        <v>106</v>
      </c>
      <c r="H116" s="71">
        <v>0</v>
      </c>
      <c r="I116" s="72">
        <f t="shared" si="2"/>
        <v>0</v>
      </c>
      <c r="J116" s="72">
        <v>0</v>
      </c>
      <c r="K116" s="265">
        <v>0</v>
      </c>
      <c r="L116" s="275"/>
      <c r="M116" s="267" t="e">
        <f t="shared" si="3"/>
        <v>#DIV/0!</v>
      </c>
      <c r="N116" s="268"/>
    </row>
    <row r="117" spans="1:14" ht="12.75" hidden="1">
      <c r="A117" s="68"/>
      <c r="B117" s="68"/>
      <c r="C117" s="68"/>
      <c r="D117" s="292" t="s">
        <v>227</v>
      </c>
      <c r="E117" s="264"/>
      <c r="F117" s="264"/>
      <c r="G117" s="70">
        <v>107</v>
      </c>
      <c r="H117" s="71">
        <v>0</v>
      </c>
      <c r="I117" s="72">
        <f t="shared" si="2"/>
        <v>0</v>
      </c>
      <c r="J117" s="72">
        <v>0</v>
      </c>
      <c r="K117" s="265">
        <v>0</v>
      </c>
      <c r="L117" s="275"/>
      <c r="M117" s="267" t="e">
        <f t="shared" si="3"/>
        <v>#DIV/0!</v>
      </c>
      <c r="N117" s="268"/>
    </row>
    <row r="118" spans="1:14" ht="12.75" hidden="1">
      <c r="A118" s="68"/>
      <c r="B118" s="68"/>
      <c r="C118" s="68"/>
      <c r="D118" s="292" t="s">
        <v>228</v>
      </c>
      <c r="E118" s="264"/>
      <c r="F118" s="264"/>
      <c r="G118" s="70">
        <v>108</v>
      </c>
      <c r="H118" s="71">
        <v>0</v>
      </c>
      <c r="I118" s="72">
        <f t="shared" si="2"/>
        <v>0</v>
      </c>
      <c r="J118" s="72">
        <v>0</v>
      </c>
      <c r="K118" s="265">
        <v>0</v>
      </c>
      <c r="L118" s="275"/>
      <c r="M118" s="267" t="e">
        <f t="shared" si="3"/>
        <v>#DIV/0!</v>
      </c>
      <c r="N118" s="268"/>
    </row>
    <row r="119" spans="1:14" ht="61.5" customHeight="1">
      <c r="A119" s="68"/>
      <c r="B119" s="68"/>
      <c r="C119" s="68" t="s">
        <v>31</v>
      </c>
      <c r="D119" s="292" t="s">
        <v>229</v>
      </c>
      <c r="E119" s="264"/>
      <c r="F119" s="264"/>
      <c r="G119" s="70">
        <v>109</v>
      </c>
      <c r="H119" s="71">
        <f>H120+H121+H122+H123+H124+H125</f>
        <v>1102.5</v>
      </c>
      <c r="I119" s="72">
        <f t="shared" si="2"/>
        <v>1131.3999999999999</v>
      </c>
      <c r="J119" s="72">
        <f>J120+J121+J122+J123+J124+J125</f>
        <v>923.1999999999999</v>
      </c>
      <c r="K119" s="265">
        <f>K120+K121+K122+K123+K124+K125</f>
        <v>208.2</v>
      </c>
      <c r="L119" s="266"/>
      <c r="M119" s="267">
        <f t="shared" si="3"/>
        <v>1.0262131519274376</v>
      </c>
      <c r="N119" s="268"/>
    </row>
    <row r="120" spans="1:14" ht="25.5" customHeight="1">
      <c r="A120" s="68"/>
      <c r="B120" s="68"/>
      <c r="C120" s="68"/>
      <c r="D120" s="292" t="s">
        <v>230</v>
      </c>
      <c r="E120" s="264"/>
      <c r="F120" s="264"/>
      <c r="G120" s="70">
        <v>110</v>
      </c>
      <c r="H120" s="71">
        <v>822</v>
      </c>
      <c r="I120" s="72">
        <f t="shared" si="2"/>
        <v>845</v>
      </c>
      <c r="J120" s="72">
        <v>689.5</v>
      </c>
      <c r="K120" s="265">
        <v>155.5</v>
      </c>
      <c r="L120" s="275"/>
      <c r="M120" s="267">
        <f t="shared" si="3"/>
        <v>1.0279805352798053</v>
      </c>
      <c r="N120" s="268"/>
    </row>
    <row r="121" spans="1:14" ht="12.75">
      <c r="A121" s="68"/>
      <c r="B121" s="68"/>
      <c r="C121" s="68"/>
      <c r="D121" s="292" t="s">
        <v>231</v>
      </c>
      <c r="E121" s="264"/>
      <c r="F121" s="264"/>
      <c r="G121" s="70">
        <v>111</v>
      </c>
      <c r="H121" s="71">
        <v>30.5</v>
      </c>
      <c r="I121" s="72">
        <f t="shared" si="2"/>
        <v>20.7</v>
      </c>
      <c r="J121" s="72">
        <v>17</v>
      </c>
      <c r="K121" s="265">
        <v>3.7</v>
      </c>
      <c r="L121" s="275"/>
      <c r="M121" s="267">
        <f t="shared" si="3"/>
        <v>0.6786885245901639</v>
      </c>
      <c r="N121" s="268"/>
    </row>
    <row r="122" spans="1:14" ht="12.75">
      <c r="A122" s="68"/>
      <c r="B122" s="68"/>
      <c r="C122" s="68"/>
      <c r="D122" s="292" t="s">
        <v>232</v>
      </c>
      <c r="E122" s="264"/>
      <c r="F122" s="264"/>
      <c r="G122" s="70">
        <v>112</v>
      </c>
      <c r="H122" s="71">
        <v>237.5</v>
      </c>
      <c r="I122" s="72">
        <f t="shared" si="2"/>
        <v>211.3</v>
      </c>
      <c r="J122" s="72">
        <v>172.3</v>
      </c>
      <c r="K122" s="265">
        <v>39</v>
      </c>
      <c r="L122" s="275"/>
      <c r="M122" s="267">
        <f t="shared" si="3"/>
        <v>0.8896842105263159</v>
      </c>
      <c r="N122" s="268"/>
    </row>
    <row r="123" spans="1:14" ht="12.75">
      <c r="A123" s="68"/>
      <c r="B123" s="68"/>
      <c r="C123" s="68"/>
      <c r="D123" s="292" t="s">
        <v>233</v>
      </c>
      <c r="E123" s="264"/>
      <c r="F123" s="264"/>
      <c r="G123" s="70">
        <v>113</v>
      </c>
      <c r="H123" s="71">
        <v>12.5</v>
      </c>
      <c r="I123" s="72">
        <f t="shared" si="2"/>
        <v>54.4</v>
      </c>
      <c r="J123" s="72">
        <v>44.4</v>
      </c>
      <c r="K123" s="265">
        <v>10</v>
      </c>
      <c r="L123" s="275"/>
      <c r="M123" s="267">
        <f t="shared" si="3"/>
        <v>4.352</v>
      </c>
      <c r="N123" s="268"/>
    </row>
    <row r="124" spans="1:14" ht="12.75" hidden="1">
      <c r="A124" s="68"/>
      <c r="B124" s="68"/>
      <c r="C124" s="68"/>
      <c r="D124" s="292" t="s">
        <v>234</v>
      </c>
      <c r="E124" s="264"/>
      <c r="F124" s="264"/>
      <c r="G124" s="70">
        <v>114</v>
      </c>
      <c r="H124" s="71">
        <v>0</v>
      </c>
      <c r="I124" s="72">
        <f aca="true" t="shared" si="4" ref="I124:I168">J124+K124</f>
        <v>0</v>
      </c>
      <c r="J124" s="72">
        <v>0</v>
      </c>
      <c r="K124" s="265">
        <v>0</v>
      </c>
      <c r="L124" s="275"/>
      <c r="M124" s="267" t="e">
        <f t="shared" si="3"/>
        <v>#DIV/0!</v>
      </c>
      <c r="N124" s="268"/>
    </row>
    <row r="125" spans="1:14" ht="12.75" hidden="1">
      <c r="A125" s="68"/>
      <c r="B125" s="68"/>
      <c r="C125" s="68"/>
      <c r="D125" s="292" t="s">
        <v>235</v>
      </c>
      <c r="E125" s="264"/>
      <c r="F125" s="264"/>
      <c r="G125" s="70">
        <v>115</v>
      </c>
      <c r="H125" s="71">
        <v>0</v>
      </c>
      <c r="I125" s="72">
        <f t="shared" si="4"/>
        <v>0</v>
      </c>
      <c r="J125" s="72">
        <v>0</v>
      </c>
      <c r="K125" s="265">
        <v>0</v>
      </c>
      <c r="L125" s="275"/>
      <c r="M125" s="267" t="e">
        <f t="shared" si="3"/>
        <v>#DIV/0!</v>
      </c>
      <c r="N125" s="268"/>
    </row>
    <row r="126" spans="1:14" ht="26.25" customHeight="1">
      <c r="A126" s="68"/>
      <c r="B126" s="68"/>
      <c r="C126" s="292" t="s">
        <v>236</v>
      </c>
      <c r="D126" s="295"/>
      <c r="E126" s="295"/>
      <c r="F126" s="295"/>
      <c r="G126" s="70">
        <v>116</v>
      </c>
      <c r="H126" s="71">
        <f>H127+H130+H131+H132+H133+H134</f>
        <v>1416</v>
      </c>
      <c r="I126" s="72">
        <f t="shared" si="4"/>
        <v>1303</v>
      </c>
      <c r="J126" s="72">
        <f>J127+J130+J131+J132+J133+J134</f>
        <v>780</v>
      </c>
      <c r="K126" s="265">
        <f>K127+K130+K131+K132+K133+K134</f>
        <v>523</v>
      </c>
      <c r="L126" s="266"/>
      <c r="M126" s="267">
        <f t="shared" si="3"/>
        <v>0.9201977401129944</v>
      </c>
      <c r="N126" s="268"/>
    </row>
    <row r="127" spans="1:14" ht="24" customHeight="1" hidden="1">
      <c r="A127" s="68"/>
      <c r="B127" s="68"/>
      <c r="C127" s="68" t="s">
        <v>51</v>
      </c>
      <c r="D127" s="292" t="s">
        <v>237</v>
      </c>
      <c r="E127" s="264"/>
      <c r="F127" s="264"/>
      <c r="G127" s="70">
        <v>117</v>
      </c>
      <c r="H127" s="71">
        <f>H128+H129</f>
        <v>0</v>
      </c>
      <c r="I127" s="72">
        <f t="shared" si="4"/>
        <v>0</v>
      </c>
      <c r="J127" s="72">
        <f>J128+J129</f>
        <v>0</v>
      </c>
      <c r="K127" s="265">
        <f>K128+K129</f>
        <v>0</v>
      </c>
      <c r="L127" s="266"/>
      <c r="M127" s="267" t="e">
        <f t="shared" si="3"/>
        <v>#DIV/0!</v>
      </c>
      <c r="N127" s="268"/>
    </row>
    <row r="128" spans="1:14" ht="12.75" hidden="1">
      <c r="A128" s="68"/>
      <c r="B128" s="68"/>
      <c r="C128" s="68"/>
      <c r="D128" s="293" t="s">
        <v>238</v>
      </c>
      <c r="E128" s="264"/>
      <c r="F128" s="264"/>
      <c r="G128" s="70">
        <v>118</v>
      </c>
      <c r="H128" s="71">
        <v>0</v>
      </c>
      <c r="I128" s="72">
        <f t="shared" si="4"/>
        <v>0</v>
      </c>
      <c r="J128" s="72">
        <v>0</v>
      </c>
      <c r="K128" s="265">
        <v>0</v>
      </c>
      <c r="L128" s="275"/>
      <c r="M128" s="267" t="e">
        <f t="shared" si="3"/>
        <v>#DIV/0!</v>
      </c>
      <c r="N128" s="268"/>
    </row>
    <row r="129" spans="1:14" ht="12.75" hidden="1">
      <c r="A129" s="68"/>
      <c r="B129" s="68"/>
      <c r="C129" s="68"/>
      <c r="D129" s="293" t="s">
        <v>239</v>
      </c>
      <c r="E129" s="264"/>
      <c r="F129" s="264"/>
      <c r="G129" s="70">
        <v>119</v>
      </c>
      <c r="H129" s="71">
        <v>0</v>
      </c>
      <c r="I129" s="72">
        <f t="shared" si="4"/>
        <v>0</v>
      </c>
      <c r="J129" s="72">
        <v>0</v>
      </c>
      <c r="K129" s="265">
        <v>0</v>
      </c>
      <c r="L129" s="275"/>
      <c r="M129" s="267" t="e">
        <f t="shared" si="3"/>
        <v>#DIV/0!</v>
      </c>
      <c r="N129" s="268"/>
    </row>
    <row r="130" spans="1:14" ht="12.75" hidden="1">
      <c r="A130" s="68"/>
      <c r="B130" s="68"/>
      <c r="C130" s="68" t="s">
        <v>59</v>
      </c>
      <c r="D130" s="293" t="s">
        <v>240</v>
      </c>
      <c r="E130" s="264"/>
      <c r="F130" s="264"/>
      <c r="G130" s="70">
        <v>120</v>
      </c>
      <c r="H130" s="71">
        <v>0</v>
      </c>
      <c r="I130" s="72">
        <f t="shared" si="4"/>
        <v>0</v>
      </c>
      <c r="J130" s="72">
        <v>0</v>
      </c>
      <c r="K130" s="265">
        <v>0</v>
      </c>
      <c r="L130" s="275"/>
      <c r="M130" s="267" t="e">
        <f t="shared" si="3"/>
        <v>#DIV/0!</v>
      </c>
      <c r="N130" s="268"/>
    </row>
    <row r="131" spans="1:14" ht="29.25" customHeight="1" hidden="1">
      <c r="A131" s="68"/>
      <c r="B131" s="68"/>
      <c r="C131" s="68" t="s">
        <v>61</v>
      </c>
      <c r="D131" s="293" t="s">
        <v>241</v>
      </c>
      <c r="E131" s="264"/>
      <c r="F131" s="264"/>
      <c r="G131" s="70">
        <v>121</v>
      </c>
      <c r="H131" s="71">
        <v>0</v>
      </c>
      <c r="I131" s="72">
        <f t="shared" si="4"/>
        <v>0</v>
      </c>
      <c r="J131" s="72">
        <v>0</v>
      </c>
      <c r="K131" s="265">
        <v>0</v>
      </c>
      <c r="L131" s="275"/>
      <c r="M131" s="267" t="e">
        <f t="shared" si="3"/>
        <v>#DIV/0!</v>
      </c>
      <c r="N131" s="268"/>
    </row>
    <row r="132" spans="1:14" ht="12.75" hidden="1">
      <c r="A132" s="68"/>
      <c r="B132" s="68"/>
      <c r="C132" s="73" t="s">
        <v>63</v>
      </c>
      <c r="D132" s="293" t="s">
        <v>66</v>
      </c>
      <c r="E132" s="264"/>
      <c r="F132" s="264"/>
      <c r="G132" s="70">
        <v>122</v>
      </c>
      <c r="H132" s="71">
        <v>0</v>
      </c>
      <c r="I132" s="72">
        <f t="shared" si="4"/>
        <v>0</v>
      </c>
      <c r="J132" s="72">
        <v>0</v>
      </c>
      <c r="K132" s="265">
        <v>0</v>
      </c>
      <c r="L132" s="275"/>
      <c r="M132" s="267" t="e">
        <f t="shared" si="3"/>
        <v>#DIV/0!</v>
      </c>
      <c r="N132" s="268"/>
    </row>
    <row r="133" spans="1:14" ht="12.75">
      <c r="A133" s="68"/>
      <c r="B133" s="68"/>
      <c r="C133" s="73" t="s">
        <v>65</v>
      </c>
      <c r="D133" s="293" t="s">
        <v>242</v>
      </c>
      <c r="E133" s="264"/>
      <c r="F133" s="264"/>
      <c r="G133" s="70">
        <v>123</v>
      </c>
      <c r="H133" s="71">
        <v>1416</v>
      </c>
      <c r="I133" s="72">
        <f t="shared" si="4"/>
        <v>1303</v>
      </c>
      <c r="J133" s="72">
        <v>780</v>
      </c>
      <c r="K133" s="265">
        <v>523</v>
      </c>
      <c r="L133" s="275"/>
      <c r="M133" s="267">
        <f t="shared" si="3"/>
        <v>0.9201977401129944</v>
      </c>
      <c r="N133" s="268"/>
    </row>
    <row r="134" spans="1:14" ht="29.25" customHeight="1" hidden="1">
      <c r="A134" s="68"/>
      <c r="B134" s="68"/>
      <c r="C134" s="73" t="s">
        <v>113</v>
      </c>
      <c r="D134" s="293" t="s">
        <v>243</v>
      </c>
      <c r="E134" s="264"/>
      <c r="F134" s="264"/>
      <c r="G134" s="70">
        <v>124</v>
      </c>
      <c r="H134" s="71">
        <f>H135+H136</f>
        <v>0</v>
      </c>
      <c r="I134" s="72">
        <f t="shared" si="4"/>
        <v>0</v>
      </c>
      <c r="J134" s="72">
        <f>J135+J136</f>
        <v>0</v>
      </c>
      <c r="K134" s="265">
        <f>K135+K136</f>
        <v>0</v>
      </c>
      <c r="L134" s="266"/>
      <c r="M134" s="267" t="e">
        <f t="shared" si="3"/>
        <v>#DIV/0!</v>
      </c>
      <c r="N134" s="268"/>
    </row>
    <row r="135" spans="1:14" ht="31.5" customHeight="1" hidden="1">
      <c r="A135" s="68"/>
      <c r="B135" s="68"/>
      <c r="C135" s="68"/>
      <c r="D135" s="73" t="s">
        <v>115</v>
      </c>
      <c r="E135" s="293" t="s">
        <v>244</v>
      </c>
      <c r="F135" s="264"/>
      <c r="G135" s="70">
        <v>125</v>
      </c>
      <c r="H135" s="71">
        <v>0</v>
      </c>
      <c r="I135" s="72">
        <f t="shared" si="4"/>
        <v>0</v>
      </c>
      <c r="J135" s="72">
        <v>0</v>
      </c>
      <c r="K135" s="265">
        <v>0</v>
      </c>
      <c r="L135" s="275"/>
      <c r="M135" s="267" t="e">
        <f t="shared" si="3"/>
        <v>#DIV/0!</v>
      </c>
      <c r="N135" s="268"/>
    </row>
    <row r="136" spans="1:14" ht="43.5" customHeight="1" hidden="1">
      <c r="A136" s="68"/>
      <c r="B136" s="68"/>
      <c r="C136" s="68"/>
      <c r="D136" s="73" t="s">
        <v>117</v>
      </c>
      <c r="E136" s="293" t="s">
        <v>245</v>
      </c>
      <c r="F136" s="264"/>
      <c r="G136" s="70">
        <v>126</v>
      </c>
      <c r="H136" s="71">
        <f>H137</f>
        <v>0</v>
      </c>
      <c r="I136" s="72">
        <f t="shared" si="4"/>
        <v>0</v>
      </c>
      <c r="J136" s="72">
        <f>J137</f>
        <v>0</v>
      </c>
      <c r="K136" s="265">
        <f>K137</f>
        <v>0</v>
      </c>
      <c r="L136" s="298"/>
      <c r="M136" s="267" t="e">
        <f t="shared" si="3"/>
        <v>#DIV/0!</v>
      </c>
      <c r="N136" s="268"/>
    </row>
    <row r="137" spans="1:14" ht="28.5" customHeight="1" hidden="1">
      <c r="A137" s="68"/>
      <c r="B137" s="68"/>
      <c r="C137" s="68"/>
      <c r="D137" s="73" t="s">
        <v>246</v>
      </c>
      <c r="E137" s="293" t="s">
        <v>247</v>
      </c>
      <c r="F137" s="264"/>
      <c r="G137" s="70">
        <v>127</v>
      </c>
      <c r="H137" s="71">
        <f>H138+H139+H140</f>
        <v>0</v>
      </c>
      <c r="I137" s="72">
        <f t="shared" si="4"/>
        <v>0</v>
      </c>
      <c r="J137" s="72">
        <f>J138+J139+J140</f>
        <v>0</v>
      </c>
      <c r="K137" s="265">
        <f>K138+K139+K140</f>
        <v>0</v>
      </c>
      <c r="L137" s="266"/>
      <c r="M137" s="267" t="e">
        <f t="shared" si="3"/>
        <v>#DIV/0!</v>
      </c>
      <c r="N137" s="268"/>
    </row>
    <row r="138" spans="1:14" ht="12.75" hidden="1">
      <c r="A138" s="68"/>
      <c r="B138" s="68"/>
      <c r="C138" s="68"/>
      <c r="D138" s="68"/>
      <c r="E138" s="293" t="s">
        <v>248</v>
      </c>
      <c r="F138" s="264"/>
      <c r="G138" s="70">
        <v>128</v>
      </c>
      <c r="H138" s="71">
        <v>0</v>
      </c>
      <c r="I138" s="72">
        <f t="shared" si="4"/>
        <v>0</v>
      </c>
      <c r="J138" s="72">
        <v>0</v>
      </c>
      <c r="K138" s="265">
        <v>0</v>
      </c>
      <c r="L138" s="275"/>
      <c r="M138" s="267" t="e">
        <f t="shared" si="3"/>
        <v>#DIV/0!</v>
      </c>
      <c r="N138" s="268"/>
    </row>
    <row r="139" spans="1:14" ht="25.5" customHeight="1" hidden="1">
      <c r="A139" s="68"/>
      <c r="B139" s="68"/>
      <c r="C139" s="68"/>
      <c r="D139" s="68"/>
      <c r="E139" s="293" t="s">
        <v>249</v>
      </c>
      <c r="F139" s="264"/>
      <c r="G139" s="70">
        <v>129</v>
      </c>
      <c r="H139" s="71">
        <v>0</v>
      </c>
      <c r="I139" s="72">
        <f t="shared" si="4"/>
        <v>0</v>
      </c>
      <c r="J139" s="72">
        <v>0</v>
      </c>
      <c r="K139" s="265">
        <v>0</v>
      </c>
      <c r="L139" s="275"/>
      <c r="M139" s="267" t="e">
        <f t="shared" si="3"/>
        <v>#DIV/0!</v>
      </c>
      <c r="N139" s="268"/>
    </row>
    <row r="140" spans="1:14" ht="12.75" hidden="1">
      <c r="A140" s="68"/>
      <c r="B140" s="68"/>
      <c r="C140" s="68"/>
      <c r="D140" s="68"/>
      <c r="E140" s="293" t="s">
        <v>250</v>
      </c>
      <c r="F140" s="264"/>
      <c r="G140" s="70">
        <v>130</v>
      </c>
      <c r="H140" s="71">
        <v>0</v>
      </c>
      <c r="I140" s="72">
        <f t="shared" si="4"/>
        <v>0</v>
      </c>
      <c r="J140" s="72">
        <v>0</v>
      </c>
      <c r="K140" s="265">
        <v>0</v>
      </c>
      <c r="L140" s="275"/>
      <c r="M140" s="267" t="e">
        <f t="shared" si="3"/>
        <v>#DIV/0!</v>
      </c>
      <c r="N140" s="268"/>
    </row>
    <row r="141" spans="1:14" s="67" customFormat="1" ht="28.5" customHeight="1">
      <c r="A141" s="63"/>
      <c r="B141" s="63">
        <v>2</v>
      </c>
      <c r="C141" s="63"/>
      <c r="D141" s="299" t="s">
        <v>251</v>
      </c>
      <c r="E141" s="258"/>
      <c r="F141" s="258"/>
      <c r="G141" s="14">
        <v>131</v>
      </c>
      <c r="H141" s="65">
        <f>H142+H145+H148</f>
        <v>52</v>
      </c>
      <c r="I141" s="66">
        <f t="shared" si="4"/>
        <v>65</v>
      </c>
      <c r="J141" s="66">
        <f>J142+J145+J148</f>
        <v>40</v>
      </c>
      <c r="K141" s="259">
        <f>K142+K145+K148</f>
        <v>25</v>
      </c>
      <c r="L141" s="260"/>
      <c r="M141" s="267">
        <f t="shared" si="3"/>
        <v>1.25</v>
      </c>
      <c r="N141" s="268"/>
    </row>
    <row r="142" spans="1:14" ht="28.5" customHeight="1" hidden="1">
      <c r="A142" s="68"/>
      <c r="B142" s="68"/>
      <c r="C142" s="68" t="s">
        <v>51</v>
      </c>
      <c r="D142" s="293" t="s">
        <v>252</v>
      </c>
      <c r="E142" s="264"/>
      <c r="F142" s="264"/>
      <c r="G142" s="70">
        <v>132</v>
      </c>
      <c r="H142" s="71">
        <f>H143+H144</f>
        <v>0</v>
      </c>
      <c r="I142" s="72">
        <f t="shared" si="4"/>
        <v>0</v>
      </c>
      <c r="J142" s="72">
        <f>J143+J144</f>
        <v>0</v>
      </c>
      <c r="K142" s="265">
        <f>K143+K144</f>
        <v>0</v>
      </c>
      <c r="L142" s="266"/>
      <c r="M142" s="267" t="e">
        <f aca="true" t="shared" si="5" ref="M142:M168">I142/H142</f>
        <v>#DIV/0!</v>
      </c>
      <c r="N142" s="268"/>
    </row>
    <row r="143" spans="1:14" ht="12.75" hidden="1">
      <c r="A143" s="68"/>
      <c r="B143" s="68"/>
      <c r="C143" s="68"/>
      <c r="D143" s="68" t="s">
        <v>95</v>
      </c>
      <c r="E143" s="293" t="s">
        <v>253</v>
      </c>
      <c r="F143" s="264"/>
      <c r="G143" s="70">
        <v>133</v>
      </c>
      <c r="H143" s="71">
        <v>0</v>
      </c>
      <c r="I143" s="72">
        <f t="shared" si="4"/>
        <v>0</v>
      </c>
      <c r="J143" s="72">
        <v>0</v>
      </c>
      <c r="K143" s="265">
        <v>0</v>
      </c>
      <c r="L143" s="275"/>
      <c r="M143" s="267" t="e">
        <f t="shared" si="5"/>
        <v>#DIV/0!</v>
      </c>
      <c r="N143" s="268"/>
    </row>
    <row r="144" spans="1:14" ht="12.75" hidden="1">
      <c r="A144" s="68"/>
      <c r="B144" s="68"/>
      <c r="C144" s="68"/>
      <c r="D144" s="68" t="s">
        <v>97</v>
      </c>
      <c r="E144" s="293" t="s">
        <v>254</v>
      </c>
      <c r="F144" s="264"/>
      <c r="G144" s="70">
        <v>134</v>
      </c>
      <c r="H144" s="71">
        <v>0</v>
      </c>
      <c r="I144" s="72">
        <f t="shared" si="4"/>
        <v>0</v>
      </c>
      <c r="J144" s="72">
        <v>0</v>
      </c>
      <c r="K144" s="265">
        <v>0</v>
      </c>
      <c r="L144" s="275"/>
      <c r="M144" s="267" t="e">
        <f t="shared" si="5"/>
        <v>#DIV/0!</v>
      </c>
      <c r="N144" s="268"/>
    </row>
    <row r="145" spans="1:14" ht="27.75" customHeight="1" hidden="1">
      <c r="A145" s="68"/>
      <c r="B145" s="68"/>
      <c r="C145" s="68" t="s">
        <v>59</v>
      </c>
      <c r="D145" s="293" t="s">
        <v>255</v>
      </c>
      <c r="E145" s="264"/>
      <c r="F145" s="264"/>
      <c r="G145" s="70">
        <v>135</v>
      </c>
      <c r="H145" s="71">
        <f>H146+H147</f>
        <v>0</v>
      </c>
      <c r="I145" s="72">
        <f t="shared" si="4"/>
        <v>0</v>
      </c>
      <c r="J145" s="72">
        <f>J146+J147</f>
        <v>0</v>
      </c>
      <c r="K145" s="265">
        <f>K146+K147</f>
        <v>0</v>
      </c>
      <c r="L145" s="266"/>
      <c r="M145" s="267" t="e">
        <f t="shared" si="5"/>
        <v>#DIV/0!</v>
      </c>
      <c r="N145" s="268"/>
    </row>
    <row r="146" spans="1:14" ht="12.75" hidden="1">
      <c r="A146" s="68"/>
      <c r="B146" s="68"/>
      <c r="C146" s="68"/>
      <c r="D146" s="68" t="s">
        <v>138</v>
      </c>
      <c r="E146" s="293" t="s">
        <v>253</v>
      </c>
      <c r="F146" s="264"/>
      <c r="G146" s="70">
        <v>136</v>
      </c>
      <c r="H146" s="71">
        <v>0</v>
      </c>
      <c r="I146" s="72">
        <f t="shared" si="4"/>
        <v>0</v>
      </c>
      <c r="J146" s="72">
        <v>0</v>
      </c>
      <c r="K146" s="265">
        <v>0</v>
      </c>
      <c r="L146" s="275"/>
      <c r="M146" s="267" t="e">
        <f t="shared" si="5"/>
        <v>#DIV/0!</v>
      </c>
      <c r="N146" s="268"/>
    </row>
    <row r="147" spans="1:14" ht="12" customHeight="1" hidden="1">
      <c r="A147" s="68"/>
      <c r="B147" s="68"/>
      <c r="C147" s="68"/>
      <c r="D147" s="73" t="s">
        <v>140</v>
      </c>
      <c r="E147" s="293" t="s">
        <v>256</v>
      </c>
      <c r="F147" s="264"/>
      <c r="G147" s="70">
        <v>137</v>
      </c>
      <c r="H147" s="71">
        <v>0</v>
      </c>
      <c r="I147" s="72">
        <f t="shared" si="4"/>
        <v>0</v>
      </c>
      <c r="J147" s="72">
        <v>0</v>
      </c>
      <c r="K147" s="265">
        <v>0</v>
      </c>
      <c r="L147" s="275"/>
      <c r="M147" s="267" t="e">
        <f t="shared" si="5"/>
        <v>#DIV/0!</v>
      </c>
      <c r="N147" s="268"/>
    </row>
    <row r="148" spans="1:14" ht="12.75">
      <c r="A148" s="68"/>
      <c r="B148" s="68"/>
      <c r="C148" s="68" t="s">
        <v>61</v>
      </c>
      <c r="D148" s="293" t="s">
        <v>257</v>
      </c>
      <c r="E148" s="264"/>
      <c r="F148" s="264"/>
      <c r="G148" s="70">
        <v>138</v>
      </c>
      <c r="H148" s="71">
        <v>52</v>
      </c>
      <c r="I148" s="72">
        <f t="shared" si="4"/>
        <v>65</v>
      </c>
      <c r="J148" s="72">
        <v>40</v>
      </c>
      <c r="K148" s="265">
        <v>25</v>
      </c>
      <c r="L148" s="275"/>
      <c r="M148" s="267">
        <f t="shared" si="5"/>
        <v>1.25</v>
      </c>
      <c r="N148" s="268"/>
    </row>
    <row r="149" spans="1:14" s="67" customFormat="1" ht="12.75">
      <c r="A149" s="63"/>
      <c r="B149" s="63">
        <v>3</v>
      </c>
      <c r="C149" s="63"/>
      <c r="D149" s="299" t="s">
        <v>36</v>
      </c>
      <c r="E149" s="258"/>
      <c r="F149" s="258"/>
      <c r="G149" s="14">
        <v>139</v>
      </c>
      <c r="H149" s="65">
        <v>0</v>
      </c>
      <c r="I149" s="66">
        <f t="shared" si="4"/>
        <v>0</v>
      </c>
      <c r="J149" s="66">
        <v>0</v>
      </c>
      <c r="K149" s="259">
        <v>0</v>
      </c>
      <c r="L149" s="300"/>
      <c r="M149" s="280">
        <v>0</v>
      </c>
      <c r="N149" s="281"/>
    </row>
    <row r="150" spans="1:14" s="62" customFormat="1" ht="27" customHeight="1">
      <c r="A150" s="59" t="s">
        <v>37</v>
      </c>
      <c r="B150" s="59"/>
      <c r="C150" s="59"/>
      <c r="D150" s="282" t="s">
        <v>258</v>
      </c>
      <c r="E150" s="301"/>
      <c r="F150" s="301"/>
      <c r="G150" s="20">
        <v>140</v>
      </c>
      <c r="H150" s="60">
        <f>H11-H40</f>
        <v>0</v>
      </c>
      <c r="I150" s="61">
        <f t="shared" si="4"/>
        <v>49.650000000000546</v>
      </c>
      <c r="J150" s="61">
        <f>J11-J40</f>
        <v>-69.29999999999927</v>
      </c>
      <c r="K150" s="253">
        <f>K11-K40</f>
        <v>118.94999999999982</v>
      </c>
      <c r="L150" s="302"/>
      <c r="M150" s="267">
        <v>0</v>
      </c>
      <c r="N150" s="268"/>
    </row>
    <row r="151" spans="1:14" ht="12.75" hidden="1">
      <c r="A151" s="68"/>
      <c r="B151" s="68"/>
      <c r="C151" s="68"/>
      <c r="D151" s="68"/>
      <c r="E151" s="293" t="s">
        <v>259</v>
      </c>
      <c r="F151" s="264"/>
      <c r="G151" s="70">
        <v>141</v>
      </c>
      <c r="H151" s="71">
        <v>0</v>
      </c>
      <c r="I151" s="72">
        <f t="shared" si="4"/>
        <v>0</v>
      </c>
      <c r="J151" s="72">
        <v>0</v>
      </c>
      <c r="K151" s="265">
        <v>0</v>
      </c>
      <c r="L151" s="275"/>
      <c r="M151" s="267" t="e">
        <f t="shared" si="5"/>
        <v>#DIV/0!</v>
      </c>
      <c r="N151" s="268"/>
    </row>
    <row r="152" spans="1:14" s="86" customFormat="1" ht="12.75">
      <c r="A152" s="88" t="s">
        <v>39</v>
      </c>
      <c r="B152" s="88"/>
      <c r="C152" s="88"/>
      <c r="D152" s="303" t="s">
        <v>40</v>
      </c>
      <c r="E152" s="283"/>
      <c r="F152" s="283"/>
      <c r="G152" s="89">
        <v>142</v>
      </c>
      <c r="H152" s="84">
        <v>0</v>
      </c>
      <c r="I152" s="85">
        <f t="shared" si="4"/>
        <v>8</v>
      </c>
      <c r="J152" s="85">
        <v>0</v>
      </c>
      <c r="K152" s="284">
        <v>8</v>
      </c>
      <c r="L152" s="304"/>
      <c r="M152" s="267">
        <v>0</v>
      </c>
      <c r="N152" s="268"/>
    </row>
    <row r="153" spans="1:14" s="86" customFormat="1" ht="12.75">
      <c r="A153" s="88" t="s">
        <v>41</v>
      </c>
      <c r="B153" s="88"/>
      <c r="C153" s="88"/>
      <c r="D153" s="303" t="s">
        <v>72</v>
      </c>
      <c r="E153" s="283"/>
      <c r="F153" s="283"/>
      <c r="G153" s="89">
        <v>143</v>
      </c>
      <c r="H153" s="84">
        <v>0</v>
      </c>
      <c r="I153" s="85">
        <f t="shared" si="4"/>
        <v>0</v>
      </c>
      <c r="J153" s="85">
        <v>0</v>
      </c>
      <c r="K153" s="284">
        <v>0</v>
      </c>
      <c r="L153" s="304"/>
      <c r="M153" s="267">
        <v>0</v>
      </c>
      <c r="N153" s="268"/>
    </row>
    <row r="154" spans="1:14" ht="12.75">
      <c r="A154" s="68"/>
      <c r="B154" s="68">
        <v>1</v>
      </c>
      <c r="C154" s="68"/>
      <c r="D154" s="293" t="s">
        <v>260</v>
      </c>
      <c r="E154" s="264"/>
      <c r="F154" s="264"/>
      <c r="G154" s="70">
        <v>144</v>
      </c>
      <c r="H154" s="71">
        <v>126</v>
      </c>
      <c r="I154" s="72">
        <f t="shared" si="4"/>
        <v>139</v>
      </c>
      <c r="J154" s="72">
        <v>106</v>
      </c>
      <c r="K154" s="265">
        <v>33</v>
      </c>
      <c r="L154" s="275"/>
      <c r="M154" s="267">
        <f t="shared" si="5"/>
        <v>1.1031746031746033</v>
      </c>
      <c r="N154" s="268"/>
    </row>
    <row r="155" spans="1:14" ht="12.75">
      <c r="A155" s="68"/>
      <c r="B155" s="68">
        <v>2</v>
      </c>
      <c r="C155" s="68"/>
      <c r="D155" s="293" t="s">
        <v>261</v>
      </c>
      <c r="E155" s="264"/>
      <c r="F155" s="264"/>
      <c r="G155" s="70">
        <v>145</v>
      </c>
      <c r="H155" s="71">
        <v>129</v>
      </c>
      <c r="I155" s="72">
        <f t="shared" si="4"/>
        <v>130</v>
      </c>
      <c r="J155" s="72">
        <v>100</v>
      </c>
      <c r="K155" s="265">
        <v>30</v>
      </c>
      <c r="L155" s="275"/>
      <c r="M155" s="267">
        <f t="shared" si="5"/>
        <v>1.0077519379844961</v>
      </c>
      <c r="N155" s="268"/>
    </row>
    <row r="156" spans="1:14" ht="48.75" customHeight="1">
      <c r="A156" s="68"/>
      <c r="B156" s="68">
        <v>3</v>
      </c>
      <c r="C156" s="68" t="s">
        <v>51</v>
      </c>
      <c r="D156" s="293" t="s">
        <v>262</v>
      </c>
      <c r="E156" s="264"/>
      <c r="F156" s="264"/>
      <c r="G156" s="70">
        <v>146</v>
      </c>
      <c r="H156" s="71">
        <f>H99/H155/12*1000</f>
        <v>2494.5090439276487</v>
      </c>
      <c r="I156" s="72">
        <f>I99/I155/12*1000</f>
        <v>2604.423076923077</v>
      </c>
      <c r="J156" s="72">
        <f>J99/J155/12*1000</f>
        <v>2762.4999999999995</v>
      </c>
      <c r="K156" s="288">
        <f>K99/K155/12*1000</f>
        <v>2077.5</v>
      </c>
      <c r="L156" s="294"/>
      <c r="M156" s="267">
        <f t="shared" si="5"/>
        <v>1.044062391059672</v>
      </c>
      <c r="N156" s="268"/>
    </row>
    <row r="157" spans="1:14" ht="69.75" customHeight="1">
      <c r="A157" s="68"/>
      <c r="B157" s="68"/>
      <c r="C157" s="68" t="s">
        <v>59</v>
      </c>
      <c r="D157" s="293" t="s">
        <v>263</v>
      </c>
      <c r="E157" s="264"/>
      <c r="F157" s="264"/>
      <c r="G157" s="70">
        <v>147</v>
      </c>
      <c r="H157" s="71">
        <f>H98/H155/12*1000</f>
        <v>2494.5090439276487</v>
      </c>
      <c r="I157" s="72">
        <f>I98/I155/12*1000</f>
        <v>2635.25641025641</v>
      </c>
      <c r="J157" s="72">
        <f>J98/J155/12*1000</f>
        <v>2795.166666666667</v>
      </c>
      <c r="K157" s="265">
        <f>K98/K155/12*1000</f>
        <v>2102.222222222222</v>
      </c>
      <c r="L157" s="266"/>
      <c r="M157" s="267">
        <f t="shared" si="5"/>
        <v>1.0564228727377762</v>
      </c>
      <c r="N157" s="268"/>
    </row>
    <row r="158" spans="1:14" ht="52.5" customHeight="1">
      <c r="A158" s="68"/>
      <c r="B158" s="68"/>
      <c r="C158" s="68" t="s">
        <v>61</v>
      </c>
      <c r="D158" s="293" t="s">
        <v>264</v>
      </c>
      <c r="E158" s="264"/>
      <c r="F158" s="264"/>
      <c r="G158" s="70">
        <v>148</v>
      </c>
      <c r="H158" s="71">
        <f>(H98+H102)/H155/12*1000</f>
        <v>2708.3333333333335</v>
      </c>
      <c r="I158" s="72">
        <f>(I98+I102)/I155/12*1000</f>
        <v>2840.961538461538</v>
      </c>
      <c r="J158" s="72">
        <f>(J98+J102)/J155/12*1000</f>
        <v>2969.25</v>
      </c>
      <c r="K158" s="265">
        <f>(K98+K102)/K155/12*1000</f>
        <v>2413.333333333333</v>
      </c>
      <c r="L158" s="266"/>
      <c r="M158" s="267">
        <f t="shared" si="5"/>
        <v>1.0489704142011833</v>
      </c>
      <c r="N158" s="268"/>
    </row>
    <row r="159" spans="1:14" ht="46.5" customHeight="1">
      <c r="A159" s="68"/>
      <c r="B159" s="73">
        <v>4</v>
      </c>
      <c r="C159" s="68" t="s">
        <v>51</v>
      </c>
      <c r="D159" s="293" t="s">
        <v>265</v>
      </c>
      <c r="E159" s="264"/>
      <c r="F159" s="264"/>
      <c r="G159" s="70">
        <v>149</v>
      </c>
      <c r="H159" s="71">
        <f>H11/H155</f>
        <v>84.12403100775194</v>
      </c>
      <c r="I159" s="72">
        <f>I11/I155</f>
        <v>116.26923076923077</v>
      </c>
      <c r="J159" s="72">
        <f>J11/J155</f>
        <v>122.166</v>
      </c>
      <c r="K159" s="265">
        <f>K11/K155</f>
        <v>96.58666666666666</v>
      </c>
      <c r="L159" s="266"/>
      <c r="M159" s="267">
        <f t="shared" si="5"/>
        <v>1.3821167314071847</v>
      </c>
      <c r="N159" s="268"/>
    </row>
    <row r="160" spans="1:14" ht="37.5" customHeight="1">
      <c r="A160" s="68"/>
      <c r="B160" s="68"/>
      <c r="C160" s="73" t="s">
        <v>59</v>
      </c>
      <c r="D160" s="293" t="s">
        <v>266</v>
      </c>
      <c r="E160" s="264"/>
      <c r="F160" s="264"/>
      <c r="G160" s="70">
        <v>150</v>
      </c>
      <c r="H160" s="71">
        <f>(H11-H27-H30)/H155</f>
        <v>79.93023255813954</v>
      </c>
      <c r="I160" s="72">
        <f>(I11-I27-I30)/I155</f>
        <v>108.52615384615385</v>
      </c>
      <c r="J160" s="72">
        <f>(J11-J27-J30)/J155</f>
        <v>115.807</v>
      </c>
      <c r="K160" s="265">
        <f>(K11-K27-K30)/K155</f>
        <v>84.23</v>
      </c>
      <c r="L160" s="275"/>
      <c r="M160" s="267">
        <f t="shared" si="5"/>
        <v>1.3577610169870862</v>
      </c>
      <c r="N160" s="268"/>
    </row>
    <row r="161" spans="1:14" ht="35.25" customHeight="1">
      <c r="A161" s="68"/>
      <c r="B161" s="68"/>
      <c r="C161" s="73" t="s">
        <v>61</v>
      </c>
      <c r="D161" s="293" t="s">
        <v>267</v>
      </c>
      <c r="E161" s="264"/>
      <c r="F161" s="264"/>
      <c r="G161" s="70">
        <v>151</v>
      </c>
      <c r="H161" s="71">
        <f>(H11-H27-H30)/H155</f>
        <v>79.93023255813954</v>
      </c>
      <c r="I161" s="72">
        <f>(I11-I27-I30)/I155</f>
        <v>108.52615384615385</v>
      </c>
      <c r="J161" s="72">
        <f>(J11-J27-J30)/J155</f>
        <v>115.807</v>
      </c>
      <c r="K161" s="265">
        <f>(K11-K27-K30)/K155</f>
        <v>84.23</v>
      </c>
      <c r="L161" s="266"/>
      <c r="M161" s="267">
        <f t="shared" si="5"/>
        <v>1.3577610169870862</v>
      </c>
      <c r="N161" s="268"/>
    </row>
    <row r="162" spans="1:14" ht="32.25" customHeight="1">
      <c r="A162" s="68"/>
      <c r="B162" s="68"/>
      <c r="C162" s="73" t="s">
        <v>63</v>
      </c>
      <c r="D162" s="293" t="s">
        <v>268</v>
      </c>
      <c r="E162" s="264"/>
      <c r="F162" s="264"/>
      <c r="G162" s="70">
        <v>152</v>
      </c>
      <c r="H162" s="71">
        <f>(H12-H27-H30)/H155</f>
        <v>79.4186046511628</v>
      </c>
      <c r="I162" s="72">
        <f>(I12-I27-I30)/I155</f>
        <v>108.13538461538462</v>
      </c>
      <c r="J162" s="72">
        <f>(J12-J27-J30)/J155</f>
        <v>115.507</v>
      </c>
      <c r="K162" s="265">
        <f>(K12-K27-K30)/K155</f>
        <v>83.56333333333333</v>
      </c>
      <c r="L162" s="266"/>
      <c r="M162" s="267">
        <f t="shared" si="5"/>
        <v>1.3615875661673613</v>
      </c>
      <c r="N162" s="268"/>
    </row>
    <row r="163" spans="1:14" ht="45" customHeight="1" hidden="1">
      <c r="A163" s="68"/>
      <c r="B163" s="68"/>
      <c r="C163" s="73" t="s">
        <v>65</v>
      </c>
      <c r="D163" s="293" t="s">
        <v>269</v>
      </c>
      <c r="E163" s="264"/>
      <c r="F163" s="264"/>
      <c r="G163" s="70">
        <v>153</v>
      </c>
      <c r="H163" s="71"/>
      <c r="I163" s="72"/>
      <c r="J163" s="72"/>
      <c r="K163" s="265"/>
      <c r="L163" s="275"/>
      <c r="M163" s="305" t="e">
        <f t="shared" si="5"/>
        <v>#DIV/0!</v>
      </c>
      <c r="N163" s="306"/>
    </row>
    <row r="164" spans="1:14" ht="24.75" customHeight="1" hidden="1">
      <c r="A164" s="68"/>
      <c r="B164" s="68"/>
      <c r="C164" s="73" t="s">
        <v>270</v>
      </c>
      <c r="D164" s="293" t="s">
        <v>271</v>
      </c>
      <c r="E164" s="264"/>
      <c r="F164" s="264"/>
      <c r="G164" s="70">
        <v>154</v>
      </c>
      <c r="H164" s="71"/>
      <c r="I164" s="72"/>
      <c r="J164" s="72"/>
      <c r="K164" s="265"/>
      <c r="L164" s="275"/>
      <c r="M164" s="305" t="e">
        <f t="shared" si="5"/>
        <v>#DIV/0!</v>
      </c>
      <c r="N164" s="306"/>
    </row>
    <row r="165" spans="1:14" ht="12.75" hidden="1">
      <c r="A165" s="68"/>
      <c r="B165" s="68"/>
      <c r="C165" s="68"/>
      <c r="D165" s="68"/>
      <c r="E165" s="293" t="s">
        <v>272</v>
      </c>
      <c r="F165" s="264"/>
      <c r="G165" s="70">
        <v>155</v>
      </c>
      <c r="H165" s="71"/>
      <c r="I165" s="72"/>
      <c r="J165" s="72"/>
      <c r="K165" s="265"/>
      <c r="L165" s="275"/>
      <c r="M165" s="305" t="e">
        <f t="shared" si="5"/>
        <v>#DIV/0!</v>
      </c>
      <c r="N165" s="306"/>
    </row>
    <row r="166" spans="1:14" ht="12.75" hidden="1">
      <c r="A166" s="68"/>
      <c r="B166" s="68"/>
      <c r="C166" s="68"/>
      <c r="D166" s="68"/>
      <c r="E166" s="293" t="s">
        <v>273</v>
      </c>
      <c r="F166" s="264"/>
      <c r="G166" s="70">
        <v>156</v>
      </c>
      <c r="H166" s="71"/>
      <c r="I166" s="72"/>
      <c r="J166" s="72"/>
      <c r="K166" s="265"/>
      <c r="L166" s="275"/>
      <c r="M166" s="305" t="e">
        <f t="shared" si="5"/>
        <v>#DIV/0!</v>
      </c>
      <c r="N166" s="306"/>
    </row>
    <row r="167" spans="1:14" ht="12.75" hidden="1">
      <c r="A167" s="68"/>
      <c r="B167" s="68"/>
      <c r="C167" s="68"/>
      <c r="D167" s="68"/>
      <c r="E167" s="293" t="s">
        <v>274</v>
      </c>
      <c r="F167" s="264"/>
      <c r="G167" s="70">
        <v>157</v>
      </c>
      <c r="H167" s="71"/>
      <c r="I167" s="72"/>
      <c r="J167" s="72"/>
      <c r="K167" s="265"/>
      <c r="L167" s="275"/>
      <c r="M167" s="305" t="e">
        <f t="shared" si="5"/>
        <v>#DIV/0!</v>
      </c>
      <c r="N167" s="306"/>
    </row>
    <row r="168" spans="1:14" ht="25.5" customHeight="1" hidden="1">
      <c r="A168" s="68"/>
      <c r="B168" s="68"/>
      <c r="C168" s="68"/>
      <c r="D168" s="68"/>
      <c r="E168" s="293" t="s">
        <v>275</v>
      </c>
      <c r="F168" s="264"/>
      <c r="G168" s="70">
        <v>158</v>
      </c>
      <c r="H168" s="71">
        <f>H167/H11</f>
        <v>0</v>
      </c>
      <c r="I168" s="72">
        <f t="shared" si="4"/>
        <v>0</v>
      </c>
      <c r="J168" s="72">
        <f>J167/J11</f>
        <v>0</v>
      </c>
      <c r="K168" s="265">
        <f>K167/K11</f>
        <v>0</v>
      </c>
      <c r="L168" s="298"/>
      <c r="M168" s="305" t="e">
        <f t="shared" si="5"/>
        <v>#DIV/0!</v>
      </c>
      <c r="N168" s="306"/>
    </row>
    <row r="169" ht="12.75">
      <c r="F169" s="90"/>
    </row>
    <row r="170" ht="12.75">
      <c r="F170" s="90"/>
    </row>
    <row r="171" ht="12.75">
      <c r="F171" s="90"/>
    </row>
    <row r="172" ht="12.75">
      <c r="F172" s="90"/>
    </row>
    <row r="173" ht="12.75">
      <c r="F173" s="90"/>
    </row>
    <row r="174" ht="12.75">
      <c r="F174" s="90"/>
    </row>
    <row r="175" ht="12.75">
      <c r="F175" s="90"/>
    </row>
    <row r="176" ht="12.75">
      <c r="F176" s="90"/>
    </row>
    <row r="177" ht="12.75">
      <c r="F177" s="90"/>
    </row>
    <row r="178" ht="12.75">
      <c r="F178" s="90"/>
    </row>
  </sheetData>
  <mergeCells count="486">
    <mergeCell ref="E167:F167"/>
    <mergeCell ref="K167:L167"/>
    <mergeCell ref="M167:N167"/>
    <mergeCell ref="E168:F168"/>
    <mergeCell ref="K168:L168"/>
    <mergeCell ref="M168:N168"/>
    <mergeCell ref="E165:F165"/>
    <mergeCell ref="K165:L165"/>
    <mergeCell ref="M165:N165"/>
    <mergeCell ref="E166:F166"/>
    <mergeCell ref="K166:L166"/>
    <mergeCell ref="M166:N166"/>
    <mergeCell ref="D163:F163"/>
    <mergeCell ref="K163:L163"/>
    <mergeCell ref="M163:N163"/>
    <mergeCell ref="D164:F164"/>
    <mergeCell ref="K164:L164"/>
    <mergeCell ref="M164:N164"/>
    <mergeCell ref="D161:F161"/>
    <mergeCell ref="K161:L161"/>
    <mergeCell ref="M161:N161"/>
    <mergeCell ref="D162:F162"/>
    <mergeCell ref="K162:L162"/>
    <mergeCell ref="M162:N162"/>
    <mergeCell ref="D159:F159"/>
    <mergeCell ref="K159:L159"/>
    <mergeCell ref="M159:N159"/>
    <mergeCell ref="D160:F160"/>
    <mergeCell ref="K160:L160"/>
    <mergeCell ref="M160:N160"/>
    <mergeCell ref="D157:F157"/>
    <mergeCell ref="K157:L157"/>
    <mergeCell ref="M157:N157"/>
    <mergeCell ref="D158:F158"/>
    <mergeCell ref="K158:L158"/>
    <mergeCell ref="M158:N158"/>
    <mergeCell ref="D155:F155"/>
    <mergeCell ref="K155:L155"/>
    <mergeCell ref="M155:N155"/>
    <mergeCell ref="D156:F156"/>
    <mergeCell ref="K156:L156"/>
    <mergeCell ref="M156:N156"/>
    <mergeCell ref="D153:F153"/>
    <mergeCell ref="K153:L153"/>
    <mergeCell ref="M153:N153"/>
    <mergeCell ref="D154:F154"/>
    <mergeCell ref="K154:L154"/>
    <mergeCell ref="M154:N154"/>
    <mergeCell ref="E151:F151"/>
    <mergeCell ref="K151:L151"/>
    <mergeCell ref="M151:N151"/>
    <mergeCell ref="D152:F152"/>
    <mergeCell ref="K152:L152"/>
    <mergeCell ref="M152:N152"/>
    <mergeCell ref="D149:F149"/>
    <mergeCell ref="K149:L149"/>
    <mergeCell ref="M149:N149"/>
    <mergeCell ref="D150:F150"/>
    <mergeCell ref="K150:L150"/>
    <mergeCell ref="M150:N150"/>
    <mergeCell ref="E147:F147"/>
    <mergeCell ref="K147:L147"/>
    <mergeCell ref="M147:N147"/>
    <mergeCell ref="D148:F148"/>
    <mergeCell ref="K148:L148"/>
    <mergeCell ref="M148:N148"/>
    <mergeCell ref="D145:F145"/>
    <mergeCell ref="K145:L145"/>
    <mergeCell ref="M145:N145"/>
    <mergeCell ref="E146:F146"/>
    <mergeCell ref="K146:L146"/>
    <mergeCell ref="M146:N146"/>
    <mergeCell ref="E143:F143"/>
    <mergeCell ref="K143:L143"/>
    <mergeCell ref="M143:N143"/>
    <mergeCell ref="E144:F144"/>
    <mergeCell ref="K144:L144"/>
    <mergeCell ref="M144:N144"/>
    <mergeCell ref="D141:F141"/>
    <mergeCell ref="K141:L141"/>
    <mergeCell ref="M141:N141"/>
    <mergeCell ref="D142:F142"/>
    <mergeCell ref="K142:L142"/>
    <mergeCell ref="M142:N142"/>
    <mergeCell ref="E139:F139"/>
    <mergeCell ref="K139:L139"/>
    <mergeCell ref="M139:N139"/>
    <mergeCell ref="E140:F140"/>
    <mergeCell ref="K140:L140"/>
    <mergeCell ref="M140:N140"/>
    <mergeCell ref="E137:F137"/>
    <mergeCell ref="K137:L137"/>
    <mergeCell ref="M137:N137"/>
    <mergeCell ref="E138:F138"/>
    <mergeCell ref="K138:L138"/>
    <mergeCell ref="M138:N138"/>
    <mergeCell ref="E135:F135"/>
    <mergeCell ref="K135:L135"/>
    <mergeCell ref="M135:N135"/>
    <mergeCell ref="E136:F136"/>
    <mergeCell ref="K136:L136"/>
    <mergeCell ref="M136:N136"/>
    <mergeCell ref="D133:F133"/>
    <mergeCell ref="K133:L133"/>
    <mergeCell ref="M133:N133"/>
    <mergeCell ref="D134:F134"/>
    <mergeCell ref="K134:L134"/>
    <mergeCell ref="M134:N134"/>
    <mergeCell ref="D131:F131"/>
    <mergeCell ref="K131:L131"/>
    <mergeCell ref="M131:N131"/>
    <mergeCell ref="D132:F132"/>
    <mergeCell ref="K132:L132"/>
    <mergeCell ref="M132:N132"/>
    <mergeCell ref="D129:F129"/>
    <mergeCell ref="K129:L129"/>
    <mergeCell ref="M129:N129"/>
    <mergeCell ref="D130:F130"/>
    <mergeCell ref="K130:L130"/>
    <mergeCell ref="M130:N130"/>
    <mergeCell ref="D127:F127"/>
    <mergeCell ref="K127:L127"/>
    <mergeCell ref="M127:N127"/>
    <mergeCell ref="D128:F128"/>
    <mergeCell ref="K128:L128"/>
    <mergeCell ref="M128:N128"/>
    <mergeCell ref="D125:F125"/>
    <mergeCell ref="K125:L125"/>
    <mergeCell ref="M125:N125"/>
    <mergeCell ref="C126:F126"/>
    <mergeCell ref="K126:L126"/>
    <mergeCell ref="M126:N126"/>
    <mergeCell ref="D123:F123"/>
    <mergeCell ref="K123:L123"/>
    <mergeCell ref="M123:N123"/>
    <mergeCell ref="D124:F124"/>
    <mergeCell ref="K124:L124"/>
    <mergeCell ref="M124:N124"/>
    <mergeCell ref="D121:F121"/>
    <mergeCell ref="K121:L121"/>
    <mergeCell ref="M121:N121"/>
    <mergeCell ref="D122:F122"/>
    <mergeCell ref="K122:L122"/>
    <mergeCell ref="M122:N122"/>
    <mergeCell ref="D119:F119"/>
    <mergeCell ref="K119:L119"/>
    <mergeCell ref="M119:N119"/>
    <mergeCell ref="D120:F120"/>
    <mergeCell ref="K120:L120"/>
    <mergeCell ref="M120:N120"/>
    <mergeCell ref="D117:F117"/>
    <mergeCell ref="K117:L117"/>
    <mergeCell ref="M117:N117"/>
    <mergeCell ref="D118:F118"/>
    <mergeCell ref="K118:L118"/>
    <mergeCell ref="M118:N118"/>
    <mergeCell ref="D115:F115"/>
    <mergeCell ref="K115:L115"/>
    <mergeCell ref="M115:N115"/>
    <mergeCell ref="D116:F116"/>
    <mergeCell ref="K116:L116"/>
    <mergeCell ref="M116:N116"/>
    <mergeCell ref="D113:F113"/>
    <mergeCell ref="K113:L113"/>
    <mergeCell ref="M113:N113"/>
    <mergeCell ref="D114:F114"/>
    <mergeCell ref="K114:L114"/>
    <mergeCell ref="M114:N114"/>
    <mergeCell ref="D111:F111"/>
    <mergeCell ref="K111:L111"/>
    <mergeCell ref="M111:N111"/>
    <mergeCell ref="D112:F112"/>
    <mergeCell ref="K112:L112"/>
    <mergeCell ref="M112:N112"/>
    <mergeCell ref="D109:F109"/>
    <mergeCell ref="K109:L109"/>
    <mergeCell ref="M109:N109"/>
    <mergeCell ref="D110:F110"/>
    <mergeCell ref="K110:L110"/>
    <mergeCell ref="M110:N110"/>
    <mergeCell ref="D107:F107"/>
    <mergeCell ref="K107:L107"/>
    <mergeCell ref="M107:N107"/>
    <mergeCell ref="D108:F108"/>
    <mergeCell ref="K108:L108"/>
    <mergeCell ref="M108:N108"/>
    <mergeCell ref="D105:F105"/>
    <mergeCell ref="K105:L105"/>
    <mergeCell ref="M105:N105"/>
    <mergeCell ref="D106:F106"/>
    <mergeCell ref="K106:L106"/>
    <mergeCell ref="M106:N106"/>
    <mergeCell ref="D103:F103"/>
    <mergeCell ref="K103:L103"/>
    <mergeCell ref="M103:N103"/>
    <mergeCell ref="D104:F104"/>
    <mergeCell ref="K104:L104"/>
    <mergeCell ref="M104:N104"/>
    <mergeCell ref="D101:F101"/>
    <mergeCell ref="K101:L101"/>
    <mergeCell ref="M101:N101"/>
    <mergeCell ref="D102:F102"/>
    <mergeCell ref="K102:L102"/>
    <mergeCell ref="M102:N102"/>
    <mergeCell ref="D99:F99"/>
    <mergeCell ref="K99:L99"/>
    <mergeCell ref="M99:N99"/>
    <mergeCell ref="D100:F100"/>
    <mergeCell ref="K100:L100"/>
    <mergeCell ref="M100:N100"/>
    <mergeCell ref="C97:F97"/>
    <mergeCell ref="K97:L97"/>
    <mergeCell ref="M97:N97"/>
    <mergeCell ref="D98:F98"/>
    <mergeCell ref="K98:L98"/>
    <mergeCell ref="M98:N98"/>
    <mergeCell ref="D95:F95"/>
    <mergeCell ref="K95:L95"/>
    <mergeCell ref="M95:N95"/>
    <mergeCell ref="D96:F96"/>
    <mergeCell ref="K96:L96"/>
    <mergeCell ref="M96:N96"/>
    <mergeCell ref="D93:F93"/>
    <mergeCell ref="K93:L93"/>
    <mergeCell ref="M93:N93"/>
    <mergeCell ref="D94:F94"/>
    <mergeCell ref="K94:L94"/>
    <mergeCell ref="M94:N94"/>
    <mergeCell ref="D91:F91"/>
    <mergeCell ref="K91:L91"/>
    <mergeCell ref="M91:N91"/>
    <mergeCell ref="D92:F92"/>
    <mergeCell ref="K92:L92"/>
    <mergeCell ref="M92:N92"/>
    <mergeCell ref="D89:F89"/>
    <mergeCell ref="K89:L89"/>
    <mergeCell ref="M89:N89"/>
    <mergeCell ref="C90:F90"/>
    <mergeCell ref="K90:L90"/>
    <mergeCell ref="M90:N90"/>
    <mergeCell ref="E87:F87"/>
    <mergeCell ref="K87:L87"/>
    <mergeCell ref="M87:N87"/>
    <mergeCell ref="E88:F88"/>
    <mergeCell ref="K88:L88"/>
    <mergeCell ref="M88:N88"/>
    <mergeCell ref="E85:F85"/>
    <mergeCell ref="K85:L85"/>
    <mergeCell ref="M85:N85"/>
    <mergeCell ref="E86:F86"/>
    <mergeCell ref="K86:L86"/>
    <mergeCell ref="M86:N86"/>
    <mergeCell ref="E83:F83"/>
    <mergeCell ref="K83:L83"/>
    <mergeCell ref="M83:N83"/>
    <mergeCell ref="E84:F84"/>
    <mergeCell ref="K84:L84"/>
    <mergeCell ref="M84:N84"/>
    <mergeCell ref="E81:F81"/>
    <mergeCell ref="K81:L81"/>
    <mergeCell ref="M81:N81"/>
    <mergeCell ref="E82:F82"/>
    <mergeCell ref="K82:L82"/>
    <mergeCell ref="M82:N82"/>
    <mergeCell ref="D79:F79"/>
    <mergeCell ref="K79:L79"/>
    <mergeCell ref="M79:N79"/>
    <mergeCell ref="D80:F80"/>
    <mergeCell ref="K80:L80"/>
    <mergeCell ref="M80:N80"/>
    <mergeCell ref="D77:F77"/>
    <mergeCell ref="K77:L77"/>
    <mergeCell ref="M77:N77"/>
    <mergeCell ref="D78:F78"/>
    <mergeCell ref="K78:L78"/>
    <mergeCell ref="M78:N78"/>
    <mergeCell ref="D75:F75"/>
    <mergeCell ref="K75:L75"/>
    <mergeCell ref="M75:N75"/>
    <mergeCell ref="D76:F76"/>
    <mergeCell ref="K76:L76"/>
    <mergeCell ref="M76:N76"/>
    <mergeCell ref="D73:F73"/>
    <mergeCell ref="K73:L73"/>
    <mergeCell ref="M73:N73"/>
    <mergeCell ref="D74:F74"/>
    <mergeCell ref="K74:L74"/>
    <mergeCell ref="M74:N74"/>
    <mergeCell ref="E71:F71"/>
    <mergeCell ref="K71:L71"/>
    <mergeCell ref="M71:N71"/>
    <mergeCell ref="E72:F72"/>
    <mergeCell ref="K72:L72"/>
    <mergeCell ref="M72:N72"/>
    <mergeCell ref="E69:F69"/>
    <mergeCell ref="K69:L69"/>
    <mergeCell ref="M69:N69"/>
    <mergeCell ref="E70:F70"/>
    <mergeCell ref="K70:L70"/>
    <mergeCell ref="M70:N70"/>
    <mergeCell ref="E67:F67"/>
    <mergeCell ref="K67:L67"/>
    <mergeCell ref="M67:N67"/>
    <mergeCell ref="D68:F68"/>
    <mergeCell ref="K68:L68"/>
    <mergeCell ref="M68:N68"/>
    <mergeCell ref="E65:F65"/>
    <mergeCell ref="K65:L65"/>
    <mergeCell ref="M65:N65"/>
    <mergeCell ref="E66:F66"/>
    <mergeCell ref="K66:L66"/>
    <mergeCell ref="M66:N66"/>
    <mergeCell ref="E63:F63"/>
    <mergeCell ref="K63:L63"/>
    <mergeCell ref="M63:N63"/>
    <mergeCell ref="E64:F64"/>
    <mergeCell ref="K64:L64"/>
    <mergeCell ref="M64:N64"/>
    <mergeCell ref="D61:F61"/>
    <mergeCell ref="K61:L61"/>
    <mergeCell ref="M61:N61"/>
    <mergeCell ref="E62:F62"/>
    <mergeCell ref="K62:L62"/>
    <mergeCell ref="M62:N62"/>
    <mergeCell ref="D59:F59"/>
    <mergeCell ref="K59:L59"/>
    <mergeCell ref="M59:N59"/>
    <mergeCell ref="E60:F60"/>
    <mergeCell ref="K60:L60"/>
    <mergeCell ref="M60:N60"/>
    <mergeCell ref="D57:F57"/>
    <mergeCell ref="K57:L57"/>
    <mergeCell ref="M57:N57"/>
    <mergeCell ref="D58:F58"/>
    <mergeCell ref="K58:L58"/>
    <mergeCell ref="M58:N58"/>
    <mergeCell ref="E55:F55"/>
    <mergeCell ref="K55:L55"/>
    <mergeCell ref="M55:N55"/>
    <mergeCell ref="D56:F56"/>
    <mergeCell ref="K56:L56"/>
    <mergeCell ref="M56:N56"/>
    <mergeCell ref="D53:F53"/>
    <mergeCell ref="K53:L53"/>
    <mergeCell ref="M53:N53"/>
    <mergeCell ref="E54:F54"/>
    <mergeCell ref="K54:L54"/>
    <mergeCell ref="M54:N54"/>
    <mergeCell ref="D51:F51"/>
    <mergeCell ref="K51:L51"/>
    <mergeCell ref="M51:N51"/>
    <mergeCell ref="D52:F52"/>
    <mergeCell ref="K52:L52"/>
    <mergeCell ref="M52:N52"/>
    <mergeCell ref="D49:F49"/>
    <mergeCell ref="K49:L49"/>
    <mergeCell ref="M49:N49"/>
    <mergeCell ref="D50:F50"/>
    <mergeCell ref="K50:L50"/>
    <mergeCell ref="M50:N50"/>
    <mergeCell ref="E47:F47"/>
    <mergeCell ref="K47:L47"/>
    <mergeCell ref="M47:N47"/>
    <mergeCell ref="D48:F48"/>
    <mergeCell ref="K48:L48"/>
    <mergeCell ref="M48:N48"/>
    <mergeCell ref="D45:F45"/>
    <mergeCell ref="K45:L45"/>
    <mergeCell ref="M45:N45"/>
    <mergeCell ref="E46:F46"/>
    <mergeCell ref="K46:L46"/>
    <mergeCell ref="M46:N46"/>
    <mergeCell ref="D43:F43"/>
    <mergeCell ref="K43:L43"/>
    <mergeCell ref="M43:N43"/>
    <mergeCell ref="D44:F44"/>
    <mergeCell ref="K44:L44"/>
    <mergeCell ref="M44:N44"/>
    <mergeCell ref="C41:F41"/>
    <mergeCell ref="K41:L41"/>
    <mergeCell ref="M41:N41"/>
    <mergeCell ref="C42:F42"/>
    <mergeCell ref="K42:L42"/>
    <mergeCell ref="M42:N42"/>
    <mergeCell ref="D39:F39"/>
    <mergeCell ref="K39:L39"/>
    <mergeCell ref="M39:N39"/>
    <mergeCell ref="B40:F40"/>
    <mergeCell ref="K40:L40"/>
    <mergeCell ref="M40:N40"/>
    <mergeCell ref="D37:F37"/>
    <mergeCell ref="K37:L37"/>
    <mergeCell ref="M37:N37"/>
    <mergeCell ref="D38:F38"/>
    <mergeCell ref="K38:L38"/>
    <mergeCell ref="M38:N38"/>
    <mergeCell ref="D35:F35"/>
    <mergeCell ref="K35:L35"/>
    <mergeCell ref="M35:N35"/>
    <mergeCell ref="D36:F36"/>
    <mergeCell ref="K36:L36"/>
    <mergeCell ref="M36:N36"/>
    <mergeCell ref="D33:F33"/>
    <mergeCell ref="K33:L33"/>
    <mergeCell ref="M33:N33"/>
    <mergeCell ref="D34:F34"/>
    <mergeCell ref="K34:L34"/>
    <mergeCell ref="M34:N34"/>
    <mergeCell ref="E31:F31"/>
    <mergeCell ref="K31:L31"/>
    <mergeCell ref="M31:N31"/>
    <mergeCell ref="E32:F32"/>
    <mergeCell ref="K32:L32"/>
    <mergeCell ref="M32:N32"/>
    <mergeCell ref="E29:F29"/>
    <mergeCell ref="K29:L29"/>
    <mergeCell ref="M29:N29"/>
    <mergeCell ref="E30:F30"/>
    <mergeCell ref="K30:L30"/>
    <mergeCell ref="M30:N30"/>
    <mergeCell ref="E27:F27"/>
    <mergeCell ref="K27:L27"/>
    <mergeCell ref="M27:N27"/>
    <mergeCell ref="E28:F28"/>
    <mergeCell ref="K28:L28"/>
    <mergeCell ref="M28:N28"/>
    <mergeCell ref="D25:F25"/>
    <mergeCell ref="K25:L25"/>
    <mergeCell ref="M25:N25"/>
    <mergeCell ref="E26:F26"/>
    <mergeCell ref="K26:L26"/>
    <mergeCell ref="M26:N26"/>
    <mergeCell ref="D23:F23"/>
    <mergeCell ref="K23:L23"/>
    <mergeCell ref="M23:N23"/>
    <mergeCell ref="D24:F24"/>
    <mergeCell ref="K24:L24"/>
    <mergeCell ref="M24:N24"/>
    <mergeCell ref="E21:F21"/>
    <mergeCell ref="K21:L21"/>
    <mergeCell ref="M21:N21"/>
    <mergeCell ref="E22:F22"/>
    <mergeCell ref="K22:L22"/>
    <mergeCell ref="M22:N22"/>
    <mergeCell ref="D19:F19"/>
    <mergeCell ref="K19:L19"/>
    <mergeCell ref="M19:N19"/>
    <mergeCell ref="E20:F20"/>
    <mergeCell ref="K20:L20"/>
    <mergeCell ref="M20:N20"/>
    <mergeCell ref="E17:F17"/>
    <mergeCell ref="K17:L17"/>
    <mergeCell ref="M17:N17"/>
    <mergeCell ref="D18:F18"/>
    <mergeCell ref="K18:L18"/>
    <mergeCell ref="M18:N18"/>
    <mergeCell ref="E15:F15"/>
    <mergeCell ref="K15:L15"/>
    <mergeCell ref="M15:N15"/>
    <mergeCell ref="E16:F16"/>
    <mergeCell ref="K16:L16"/>
    <mergeCell ref="M16:N16"/>
    <mergeCell ref="D13:F13"/>
    <mergeCell ref="K13:L13"/>
    <mergeCell ref="M13:N13"/>
    <mergeCell ref="E14:F14"/>
    <mergeCell ref="K14:L14"/>
    <mergeCell ref="M14:N14"/>
    <mergeCell ref="D11:F11"/>
    <mergeCell ref="K11:L11"/>
    <mergeCell ref="M11:N11"/>
    <mergeCell ref="D12:F12"/>
    <mergeCell ref="K12:L12"/>
    <mergeCell ref="M12:N12"/>
    <mergeCell ref="B10:C10"/>
    <mergeCell ref="D10:F10"/>
    <mergeCell ref="K10:L10"/>
    <mergeCell ref="M10:N10"/>
    <mergeCell ref="M7:N7"/>
    <mergeCell ref="A8:C9"/>
    <mergeCell ref="D8:F9"/>
    <mergeCell ref="G8:G9"/>
    <mergeCell ref="I8:L8"/>
    <mergeCell ref="M8:N8"/>
    <mergeCell ref="K9:L9"/>
    <mergeCell ref="M9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6"/>
  <sheetViews>
    <sheetView workbookViewId="0" topLeftCell="A1">
      <selection activeCell="D3" sqref="D3"/>
    </sheetView>
  </sheetViews>
  <sheetFormatPr defaultColWidth="9.140625" defaultRowHeight="12.75"/>
  <cols>
    <col min="1" max="1" width="9.140625" style="46" customWidth="1"/>
    <col min="2" max="2" width="4.140625" style="91" customWidth="1"/>
    <col min="3" max="3" width="12.7109375" style="46" customWidth="1"/>
    <col min="4" max="5" width="9.140625" style="46" customWidth="1"/>
    <col min="6" max="6" width="9.140625" style="47" customWidth="1"/>
    <col min="7" max="7" width="7.00390625" style="47" customWidth="1"/>
    <col min="8" max="8" width="9.8515625" style="47" customWidth="1"/>
    <col min="9" max="11" width="9.140625" style="47" customWidth="1"/>
    <col min="12" max="13" width="9.140625" style="49" customWidth="1"/>
    <col min="14" max="16384" width="9.140625" style="46" customWidth="1"/>
  </cols>
  <sheetData>
    <row r="1" spans="8:12" ht="12.75">
      <c r="H1" s="4" t="s">
        <v>276</v>
      </c>
      <c r="I1" s="5"/>
      <c r="J1"/>
      <c r="K1"/>
      <c r="L1"/>
    </row>
    <row r="2" spans="8:12" ht="12.75">
      <c r="H2" s="4"/>
      <c r="I2" s="5"/>
      <c r="J2"/>
      <c r="K2"/>
      <c r="L2"/>
    </row>
    <row r="3" spans="8:12" ht="12.75">
      <c r="H3" s="4"/>
      <c r="I3" s="5"/>
      <c r="J3"/>
      <c r="K3"/>
      <c r="L3"/>
    </row>
    <row r="4" ht="12.75">
      <c r="B4" s="46"/>
    </row>
    <row r="5" spans="3:10" ht="12.75">
      <c r="C5" s="307" t="s">
        <v>277</v>
      </c>
      <c r="D5" s="307"/>
      <c r="E5" s="307"/>
      <c r="F5" s="307"/>
      <c r="G5" s="307"/>
      <c r="H5" s="307"/>
      <c r="I5" s="307"/>
      <c r="J5" s="307"/>
    </row>
    <row r="6" ht="12.75">
      <c r="K6" s="52" t="s">
        <v>86</v>
      </c>
    </row>
    <row r="7" spans="2:11" ht="12.75">
      <c r="B7" s="308" t="s">
        <v>278</v>
      </c>
      <c r="C7" s="309" t="s">
        <v>279</v>
      </c>
      <c r="D7" s="310" t="s">
        <v>442</v>
      </c>
      <c r="E7" s="310"/>
      <c r="F7" s="310"/>
      <c r="G7" s="92" t="s">
        <v>3</v>
      </c>
      <c r="H7" s="311" t="s">
        <v>443</v>
      </c>
      <c r="I7" s="311"/>
      <c r="J7" s="311"/>
      <c r="K7" s="92" t="s">
        <v>3</v>
      </c>
    </row>
    <row r="8" spans="2:11" ht="12.75">
      <c r="B8" s="308"/>
      <c r="C8" s="309"/>
      <c r="D8" s="77" t="s">
        <v>88</v>
      </c>
      <c r="E8" s="77" t="s">
        <v>280</v>
      </c>
      <c r="F8" s="80" t="s">
        <v>281</v>
      </c>
      <c r="G8" s="80" t="s">
        <v>282</v>
      </c>
      <c r="H8" s="80" t="s">
        <v>88</v>
      </c>
      <c r="I8" s="80" t="s">
        <v>280</v>
      </c>
      <c r="J8" s="80" t="s">
        <v>281</v>
      </c>
      <c r="K8" s="80" t="s">
        <v>283</v>
      </c>
    </row>
    <row r="9" spans="2:13" s="97" customFormat="1" ht="10.5">
      <c r="B9" s="93">
        <v>0</v>
      </c>
      <c r="C9" s="94">
        <v>1</v>
      </c>
      <c r="D9" s="94">
        <v>2</v>
      </c>
      <c r="E9" s="94">
        <v>3</v>
      </c>
      <c r="F9" s="95">
        <v>4</v>
      </c>
      <c r="G9" s="95">
        <v>5</v>
      </c>
      <c r="H9" s="95">
        <v>6</v>
      </c>
      <c r="I9" s="95">
        <v>7</v>
      </c>
      <c r="J9" s="95">
        <v>8</v>
      </c>
      <c r="K9" s="95">
        <v>9</v>
      </c>
      <c r="L9" s="96"/>
      <c r="M9" s="96"/>
    </row>
    <row r="10" spans="2:11" ht="38.25">
      <c r="B10" s="34">
        <v>1</v>
      </c>
      <c r="C10" s="98" t="s">
        <v>284</v>
      </c>
      <c r="D10" s="99">
        <v>2900</v>
      </c>
      <c r="E10" s="99">
        <v>3058</v>
      </c>
      <c r="F10" s="99">
        <v>2553</v>
      </c>
      <c r="G10" s="99">
        <f>F10/D10</f>
        <v>0.8803448275862069</v>
      </c>
      <c r="H10" s="99">
        <v>3100</v>
      </c>
      <c r="I10" s="99">
        <v>3935</v>
      </c>
      <c r="J10" s="99">
        <v>3518</v>
      </c>
      <c r="K10" s="99">
        <f>J10/H10</f>
        <v>1.1348387096774193</v>
      </c>
    </row>
    <row r="11" ht="12.75">
      <c r="C11" s="90"/>
    </row>
    <row r="12" ht="12.75">
      <c r="C12" s="90"/>
    </row>
    <row r="13" ht="12.75">
      <c r="C13" s="90"/>
    </row>
    <row r="14" ht="12.75">
      <c r="C14" s="90"/>
    </row>
    <row r="15" ht="12.75">
      <c r="C15" s="90"/>
    </row>
    <row r="16" ht="12.75">
      <c r="C16" s="90"/>
    </row>
    <row r="17" ht="12.75">
      <c r="C17" s="90"/>
    </row>
    <row r="18" ht="12.75">
      <c r="C18" s="90"/>
    </row>
    <row r="19" ht="12.75">
      <c r="C19" s="90"/>
    </row>
    <row r="20" ht="12.75">
      <c r="C20" s="90"/>
    </row>
    <row r="21" ht="12.75">
      <c r="C21" s="90"/>
    </row>
    <row r="22" ht="12.75">
      <c r="C22" s="90"/>
    </row>
    <row r="23" ht="12.75">
      <c r="C23" s="90"/>
    </row>
    <row r="24" ht="12.75">
      <c r="C24" s="90"/>
    </row>
    <row r="25" ht="12.75">
      <c r="C25" s="90"/>
    </row>
    <row r="26" ht="12.75">
      <c r="C26" s="100"/>
    </row>
    <row r="27" ht="12.75">
      <c r="C27" s="100"/>
    </row>
    <row r="28" ht="12.75">
      <c r="C28" s="100"/>
    </row>
    <row r="29" ht="12.75">
      <c r="C29" s="100"/>
    </row>
    <row r="30" ht="12.75">
      <c r="C30" s="100"/>
    </row>
    <row r="31" ht="12.75">
      <c r="C31" s="100"/>
    </row>
    <row r="32" ht="12.75">
      <c r="C32" s="100"/>
    </row>
    <row r="33" ht="12.75">
      <c r="C33" s="100"/>
    </row>
    <row r="34" ht="12.75">
      <c r="C34" s="100"/>
    </row>
    <row r="35" ht="12.75">
      <c r="C35" s="100"/>
    </row>
    <row r="36" ht="12.75">
      <c r="C36" s="100"/>
    </row>
    <row r="37" ht="12.75">
      <c r="C37" s="100"/>
    </row>
    <row r="38" ht="12.75">
      <c r="C38" s="100"/>
    </row>
    <row r="39" ht="12.75">
      <c r="C39" s="100"/>
    </row>
    <row r="40" ht="12.75">
      <c r="C40" s="100"/>
    </row>
    <row r="41" ht="12.75">
      <c r="C41" s="100"/>
    </row>
    <row r="42" ht="12.75">
      <c r="C42" s="100"/>
    </row>
    <row r="43" ht="12.75">
      <c r="C43" s="100"/>
    </row>
    <row r="44" ht="12.75">
      <c r="C44" s="100"/>
    </row>
    <row r="45" ht="12.75">
      <c r="C45" s="100"/>
    </row>
    <row r="46" ht="12.75">
      <c r="C46" s="100"/>
    </row>
    <row r="47" ht="12.75">
      <c r="C47" s="100"/>
    </row>
    <row r="48" ht="12.75">
      <c r="C48" s="100"/>
    </row>
    <row r="49" ht="12.75">
      <c r="C49" s="100"/>
    </row>
    <row r="50" ht="12.75">
      <c r="C50" s="100"/>
    </row>
    <row r="51" ht="12.75">
      <c r="C51" s="100"/>
    </row>
    <row r="52" ht="12.75">
      <c r="C52" s="100"/>
    </row>
    <row r="53" ht="12.75">
      <c r="C53" s="100"/>
    </row>
    <row r="54" ht="12.75">
      <c r="C54" s="100"/>
    </row>
    <row r="55" ht="12.75">
      <c r="C55" s="100"/>
    </row>
    <row r="56" ht="12.75">
      <c r="C56" s="100"/>
    </row>
    <row r="57" ht="12.75">
      <c r="C57" s="100"/>
    </row>
    <row r="58" ht="12.75">
      <c r="C58" s="100"/>
    </row>
    <row r="59" ht="12.75">
      <c r="C59" s="100"/>
    </row>
    <row r="60" ht="12.75">
      <c r="C60" s="100"/>
    </row>
    <row r="61" ht="12.75">
      <c r="C61" s="100"/>
    </row>
    <row r="62" ht="12.75">
      <c r="C62" s="100"/>
    </row>
    <row r="63" ht="12.75">
      <c r="C63" s="100"/>
    </row>
    <row r="64" ht="12.75">
      <c r="C64" s="100"/>
    </row>
    <row r="65" ht="12.75">
      <c r="C65" s="100"/>
    </row>
    <row r="66" ht="12.75">
      <c r="C66" s="100"/>
    </row>
  </sheetData>
  <mergeCells count="5">
    <mergeCell ref="C5:J5"/>
    <mergeCell ref="B7:B8"/>
    <mergeCell ref="C7:C8"/>
    <mergeCell ref="D7:F7"/>
    <mergeCell ref="H7:J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9"/>
  <sheetViews>
    <sheetView workbookViewId="0" topLeftCell="A93">
      <selection activeCell="E17" sqref="E17"/>
    </sheetView>
  </sheetViews>
  <sheetFormatPr defaultColWidth="9.140625" defaultRowHeight="12.75"/>
  <cols>
    <col min="1" max="1" width="9.421875" style="101" customWidth="1"/>
    <col min="2" max="2" width="6.140625" style="101" customWidth="1"/>
    <col min="3" max="4" width="5.421875" style="101" customWidth="1"/>
    <col min="5" max="5" width="48.7109375" style="101" customWidth="1"/>
    <col min="6" max="6" width="6.28125" style="422" customWidth="1"/>
    <col min="7" max="7" width="10.8515625" style="101" customWidth="1"/>
    <col min="8" max="8" width="6.57421875" style="101" customWidth="1"/>
    <col min="9" max="16384" width="9.140625" style="101" customWidth="1"/>
  </cols>
  <sheetData>
    <row r="2" spans="1:9" ht="12.75">
      <c r="A2" s="51"/>
      <c r="B2" s="47"/>
      <c r="H2" s="423" t="s">
        <v>481</v>
      </c>
      <c r="I2" s="424"/>
    </row>
    <row r="4" ht="12.75">
      <c r="E4" s="425" t="s">
        <v>482</v>
      </c>
    </row>
    <row r="5" ht="12.75">
      <c r="K5" s="426" t="s">
        <v>86</v>
      </c>
    </row>
    <row r="6" spans="1:11" ht="38.25">
      <c r="A6" s="427" t="s">
        <v>285</v>
      </c>
      <c r="B6" s="428" t="s">
        <v>279</v>
      </c>
      <c r="C6" s="429"/>
      <c r="D6" s="429"/>
      <c r="E6" s="430"/>
      <c r="F6" s="427" t="s">
        <v>483</v>
      </c>
      <c r="G6" s="431" t="s">
        <v>484</v>
      </c>
      <c r="H6" s="427" t="s">
        <v>485</v>
      </c>
      <c r="I6" s="427" t="s">
        <v>486</v>
      </c>
      <c r="J6" s="427" t="s">
        <v>487</v>
      </c>
      <c r="K6" s="427" t="s">
        <v>488</v>
      </c>
    </row>
    <row r="7" spans="1:11" s="103" customFormat="1" ht="12.75">
      <c r="A7" s="432">
        <v>0</v>
      </c>
      <c r="B7" s="433">
        <v>1</v>
      </c>
      <c r="C7" s="247"/>
      <c r="D7" s="247"/>
      <c r="E7" s="248"/>
      <c r="F7" s="434">
        <v>2</v>
      </c>
      <c r="G7" s="432">
        <v>3</v>
      </c>
      <c r="H7" s="432">
        <v>4</v>
      </c>
      <c r="I7" s="432">
        <v>5</v>
      </c>
      <c r="J7" s="432">
        <v>6</v>
      </c>
      <c r="K7" s="432">
        <v>7</v>
      </c>
    </row>
    <row r="8" spans="1:11" s="441" customFormat="1" ht="30" customHeight="1">
      <c r="A8" s="435" t="s">
        <v>7</v>
      </c>
      <c r="B8" s="436" t="s">
        <v>489</v>
      </c>
      <c r="C8" s="437"/>
      <c r="D8" s="437"/>
      <c r="E8" s="438"/>
      <c r="F8" s="439">
        <v>1</v>
      </c>
      <c r="G8" s="440">
        <v>15115</v>
      </c>
      <c r="H8" s="440">
        <f>H9+H30+H36</f>
        <v>3023</v>
      </c>
      <c r="I8" s="440">
        <f>I9+I30+I36</f>
        <v>4534.5</v>
      </c>
      <c r="J8" s="440">
        <f>J9+J30+J36</f>
        <v>4685.15</v>
      </c>
      <c r="K8" s="440">
        <f>K9+K30+K36</f>
        <v>2872.3500000000004</v>
      </c>
    </row>
    <row r="9" spans="1:11" s="446" customFormat="1" ht="28.5" customHeight="1">
      <c r="A9" s="442"/>
      <c r="B9" s="443">
        <v>1</v>
      </c>
      <c r="C9" s="442"/>
      <c r="D9" s="444" t="s">
        <v>9</v>
      </c>
      <c r="E9" s="444"/>
      <c r="F9" s="445">
        <v>2</v>
      </c>
      <c r="G9" s="442">
        <v>15064</v>
      </c>
      <c r="H9" s="442">
        <f>H10+H15+H16+H20+H21+H22</f>
        <v>3013</v>
      </c>
      <c r="I9" s="442">
        <f>I10+I15+I16+I20+I21+I22</f>
        <v>4519.5</v>
      </c>
      <c r="J9" s="442">
        <f>J10+J15+J16+J20+J21+J22</f>
        <v>4670.15</v>
      </c>
      <c r="K9" s="442">
        <f>K10+K15+K16+K20+K21+K22</f>
        <v>2862.3500000000004</v>
      </c>
    </row>
    <row r="10" spans="1:11" s="450" customFormat="1" ht="47.25" customHeight="1">
      <c r="A10" s="447"/>
      <c r="B10" s="447"/>
      <c r="C10" s="447" t="s">
        <v>51</v>
      </c>
      <c r="D10" s="448" t="s">
        <v>490</v>
      </c>
      <c r="E10" s="448"/>
      <c r="F10" s="449">
        <v>3</v>
      </c>
      <c r="G10" s="447">
        <f>G11+G12+G13+G14</f>
        <v>5874</v>
      </c>
      <c r="H10" s="447">
        <f>H11+H12+H13+H14</f>
        <v>1174.8</v>
      </c>
      <c r="I10" s="447">
        <f>I11+I12+I13+I14</f>
        <v>1762.2</v>
      </c>
      <c r="J10" s="447">
        <f>J11+J12+J13+J14</f>
        <v>1820.9399999999998</v>
      </c>
      <c r="K10" s="447">
        <f>K11+K12+K13+K14</f>
        <v>1116.0600000000004</v>
      </c>
    </row>
    <row r="11" spans="1:11" ht="12.75" customHeight="1">
      <c r="A11" s="104"/>
      <c r="B11" s="104"/>
      <c r="C11" s="104"/>
      <c r="D11" s="104" t="s">
        <v>95</v>
      </c>
      <c r="E11" s="104" t="s">
        <v>96</v>
      </c>
      <c r="F11" s="451">
        <v>4</v>
      </c>
      <c r="G11" s="104">
        <v>0</v>
      </c>
      <c r="H11" s="104">
        <f>G11*20/100</f>
        <v>0</v>
      </c>
      <c r="I11" s="104">
        <f>G11*32/100</f>
        <v>0</v>
      </c>
      <c r="J11" s="104">
        <f>G11*315/100</f>
        <v>0</v>
      </c>
      <c r="K11" s="104">
        <f>G11-J11-I11-H11</f>
        <v>0</v>
      </c>
    </row>
    <row r="12" spans="1:11" ht="12.75" customHeight="1">
      <c r="A12" s="104"/>
      <c r="B12" s="104"/>
      <c r="C12" s="104"/>
      <c r="D12" s="104" t="s">
        <v>97</v>
      </c>
      <c r="E12" s="104" t="s">
        <v>98</v>
      </c>
      <c r="F12" s="451">
        <v>5</v>
      </c>
      <c r="G12" s="104">
        <v>4356</v>
      </c>
      <c r="H12" s="104">
        <f aca="true" t="shared" si="0" ref="H12:H36">G12*20/100</f>
        <v>871.2</v>
      </c>
      <c r="I12" s="104">
        <f>G12*30/100</f>
        <v>1306.8</v>
      </c>
      <c r="J12" s="104">
        <f>G12*31/100</f>
        <v>1350.36</v>
      </c>
      <c r="K12" s="104">
        <f>G12-J12-I12-H12</f>
        <v>827.6400000000003</v>
      </c>
    </row>
    <row r="13" spans="1:11" ht="12.75" customHeight="1">
      <c r="A13" s="104"/>
      <c r="B13" s="104"/>
      <c r="C13" s="104"/>
      <c r="D13" s="104" t="s">
        <v>99</v>
      </c>
      <c r="E13" s="104" t="s">
        <v>100</v>
      </c>
      <c r="F13" s="451">
        <v>6</v>
      </c>
      <c r="G13" s="104">
        <v>534</v>
      </c>
      <c r="H13" s="104">
        <f t="shared" si="0"/>
        <v>106.8</v>
      </c>
      <c r="I13" s="104">
        <f>G13*30/100</f>
        <v>160.2</v>
      </c>
      <c r="J13" s="104">
        <f>G13*31/100</f>
        <v>165.54</v>
      </c>
      <c r="K13" s="104">
        <f>G13-J13-I13-H13</f>
        <v>101.46000000000005</v>
      </c>
    </row>
    <row r="14" spans="1:11" ht="12.75" customHeight="1">
      <c r="A14" s="104"/>
      <c r="B14" s="104"/>
      <c r="C14" s="104"/>
      <c r="D14" s="104" t="s">
        <v>101</v>
      </c>
      <c r="E14" s="104" t="s">
        <v>102</v>
      </c>
      <c r="F14" s="451">
        <v>7</v>
      </c>
      <c r="G14" s="104">
        <v>984</v>
      </c>
      <c r="H14" s="104">
        <f t="shared" si="0"/>
        <v>196.8</v>
      </c>
      <c r="I14" s="104">
        <f>G14*30/100</f>
        <v>295.2</v>
      </c>
      <c r="J14" s="104">
        <f>G14*31/100</f>
        <v>305.04</v>
      </c>
      <c r="K14" s="104">
        <f>G14-J14-I14-H14</f>
        <v>186.96000000000004</v>
      </c>
    </row>
    <row r="15" spans="1:11" s="450" customFormat="1" ht="12.75" customHeight="1">
      <c r="A15" s="447"/>
      <c r="B15" s="447"/>
      <c r="C15" s="447" t="s">
        <v>59</v>
      </c>
      <c r="D15" s="452" t="s">
        <v>103</v>
      </c>
      <c r="E15" s="452"/>
      <c r="F15" s="449">
        <v>8</v>
      </c>
      <c r="G15" s="447">
        <v>0</v>
      </c>
      <c r="H15" s="447">
        <f t="shared" si="0"/>
        <v>0</v>
      </c>
      <c r="I15" s="447">
        <f>G15*30/100</f>
        <v>0</v>
      </c>
      <c r="J15" s="447">
        <f>G15*31/100</f>
        <v>0</v>
      </c>
      <c r="K15" s="447">
        <f>G15-J15-I15-H15</f>
        <v>0</v>
      </c>
    </row>
    <row r="16" spans="1:11" s="450" customFormat="1" ht="54.75" customHeight="1">
      <c r="A16" s="447"/>
      <c r="B16" s="447"/>
      <c r="C16" s="447" t="s">
        <v>61</v>
      </c>
      <c r="D16" s="448" t="s">
        <v>491</v>
      </c>
      <c r="E16" s="448"/>
      <c r="F16" s="449">
        <v>9</v>
      </c>
      <c r="G16" s="447">
        <f>G17+G18+G19</f>
        <v>8184</v>
      </c>
      <c r="H16" s="447">
        <f>H17+H18+H19</f>
        <v>1636.8</v>
      </c>
      <c r="I16" s="447">
        <f>I17+I18+I19</f>
        <v>2455.2</v>
      </c>
      <c r="J16" s="447">
        <f>J17+J18+J19</f>
        <v>2537.04</v>
      </c>
      <c r="K16" s="447">
        <f>K17+K18+K19</f>
        <v>1554.9600000000003</v>
      </c>
    </row>
    <row r="17" spans="1:11" ht="25.5" customHeight="1">
      <c r="A17" s="104"/>
      <c r="B17" s="104"/>
      <c r="C17" s="104"/>
      <c r="D17" s="104" t="s">
        <v>105</v>
      </c>
      <c r="E17" s="453" t="s">
        <v>106</v>
      </c>
      <c r="F17" s="451">
        <v>10</v>
      </c>
      <c r="G17" s="104">
        <v>0</v>
      </c>
      <c r="H17" s="104">
        <f t="shared" si="0"/>
        <v>0</v>
      </c>
      <c r="I17" s="104">
        <f>G17*30/100</f>
        <v>0</v>
      </c>
      <c r="J17" s="104">
        <f>G17*31/100</f>
        <v>0</v>
      </c>
      <c r="K17" s="104">
        <f>G17-J17-I17-H17</f>
        <v>0</v>
      </c>
    </row>
    <row r="18" spans="1:11" ht="31.5" customHeight="1">
      <c r="A18" s="104"/>
      <c r="B18" s="104"/>
      <c r="C18" s="104"/>
      <c r="D18" s="104" t="s">
        <v>107</v>
      </c>
      <c r="E18" s="453" t="s">
        <v>492</v>
      </c>
      <c r="F18" s="451">
        <v>11</v>
      </c>
      <c r="G18" s="104">
        <v>8184</v>
      </c>
      <c r="H18" s="104">
        <f t="shared" si="0"/>
        <v>1636.8</v>
      </c>
      <c r="I18" s="104">
        <f>G18*30/100</f>
        <v>2455.2</v>
      </c>
      <c r="J18" s="104">
        <f>G18*31/100</f>
        <v>2537.04</v>
      </c>
      <c r="K18" s="104">
        <f>G18-J18-I18-H18</f>
        <v>1554.9600000000003</v>
      </c>
    </row>
    <row r="19" spans="1:11" ht="12.75" customHeight="1" hidden="1">
      <c r="A19" s="104"/>
      <c r="B19" s="104"/>
      <c r="C19" s="104"/>
      <c r="D19" s="104" t="s">
        <v>109</v>
      </c>
      <c r="E19" s="104" t="s">
        <v>100</v>
      </c>
      <c r="F19" s="451">
        <v>12</v>
      </c>
      <c r="G19" s="104">
        <v>0</v>
      </c>
      <c r="H19" s="104">
        <f t="shared" si="0"/>
        <v>0</v>
      </c>
      <c r="I19" s="104">
        <f>G19*30/100</f>
        <v>0</v>
      </c>
      <c r="J19" s="104">
        <f>G19*31/100</f>
        <v>0</v>
      </c>
      <c r="K19" s="104">
        <f>G19-J19-I19-H19</f>
        <v>0</v>
      </c>
    </row>
    <row r="20" spans="1:11" ht="27" customHeight="1" hidden="1">
      <c r="A20" s="104"/>
      <c r="B20" s="104"/>
      <c r="C20" s="104" t="s">
        <v>63</v>
      </c>
      <c r="D20" s="454" t="s">
        <v>493</v>
      </c>
      <c r="E20" s="454"/>
      <c r="F20" s="451">
        <v>13</v>
      </c>
      <c r="G20" s="104">
        <v>0</v>
      </c>
      <c r="H20" s="104">
        <f t="shared" si="0"/>
        <v>0</v>
      </c>
      <c r="I20" s="104">
        <f>G20*30/100</f>
        <v>0</v>
      </c>
      <c r="J20" s="104">
        <f>G20*31/100</f>
        <v>0</v>
      </c>
      <c r="K20" s="104">
        <f>G20-J20-I20-H20</f>
        <v>0</v>
      </c>
    </row>
    <row r="21" spans="1:11" ht="33.75" customHeight="1" hidden="1">
      <c r="A21" s="104"/>
      <c r="B21" s="104"/>
      <c r="C21" s="104" t="s">
        <v>65</v>
      </c>
      <c r="D21" s="454" t="s">
        <v>112</v>
      </c>
      <c r="E21" s="454"/>
      <c r="F21" s="451">
        <v>14</v>
      </c>
      <c r="G21" s="104">
        <v>0</v>
      </c>
      <c r="H21" s="104">
        <f t="shared" si="0"/>
        <v>0</v>
      </c>
      <c r="I21" s="104">
        <f>G21*30/100</f>
        <v>0</v>
      </c>
      <c r="J21" s="104">
        <f>G21*31/100</f>
        <v>0</v>
      </c>
      <c r="K21" s="104">
        <f>G21-J21-I21-H21</f>
        <v>0</v>
      </c>
    </row>
    <row r="22" spans="1:11" s="450" customFormat="1" ht="39.75" customHeight="1">
      <c r="A22" s="447"/>
      <c r="B22" s="447"/>
      <c r="C22" s="447" t="s">
        <v>113</v>
      </c>
      <c r="D22" s="448" t="s">
        <v>494</v>
      </c>
      <c r="E22" s="448"/>
      <c r="F22" s="449">
        <v>15</v>
      </c>
      <c r="G22" s="447">
        <f>SUM(G23:G29)</f>
        <v>1007</v>
      </c>
      <c r="H22" s="447">
        <f>H23+H24+H27+H28+H29</f>
        <v>201.4</v>
      </c>
      <c r="I22" s="447">
        <f>I23+I24+I27+I28+I29</f>
        <v>302.1</v>
      </c>
      <c r="J22" s="447">
        <f>J23+J24+J27+J28+J29</f>
        <v>312.17</v>
      </c>
      <c r="K22" s="447">
        <f>K23+K24+K27+K28+K29</f>
        <v>191.3299999999999</v>
      </c>
    </row>
    <row r="23" spans="1:11" ht="12.75">
      <c r="A23" s="104"/>
      <c r="B23" s="104"/>
      <c r="C23" s="104"/>
      <c r="D23" s="104" t="s">
        <v>115</v>
      </c>
      <c r="E23" s="104" t="s">
        <v>116</v>
      </c>
      <c r="F23" s="451">
        <v>16</v>
      </c>
      <c r="G23" s="104">
        <v>1007</v>
      </c>
      <c r="H23" s="104">
        <f t="shared" si="0"/>
        <v>201.4</v>
      </c>
      <c r="I23" s="104">
        <f>G23*30/100</f>
        <v>302.1</v>
      </c>
      <c r="J23" s="104">
        <f>G23*31/100</f>
        <v>312.17</v>
      </c>
      <c r="K23" s="104">
        <f>G23-J23-I23-H23</f>
        <v>191.3299999999999</v>
      </c>
    </row>
    <row r="24" spans="1:11" ht="12.75" hidden="1">
      <c r="A24" s="104"/>
      <c r="B24" s="104"/>
      <c r="C24" s="104"/>
      <c r="D24" s="104" t="s">
        <v>117</v>
      </c>
      <c r="E24" s="104" t="s">
        <v>98</v>
      </c>
      <c r="F24" s="451">
        <v>17</v>
      </c>
      <c r="G24" s="104">
        <v>0</v>
      </c>
      <c r="H24" s="104">
        <f t="shared" si="0"/>
        <v>0</v>
      </c>
      <c r="I24" s="104">
        <f aca="true" t="shared" si="1" ref="I24:I29">G24*30/100</f>
        <v>0</v>
      </c>
      <c r="J24" s="104">
        <f aca="true" t="shared" si="2" ref="J24:J29">G24*31/100</f>
        <v>0</v>
      </c>
      <c r="K24" s="104">
        <f aca="true" t="shared" si="3" ref="K24:K29">G24-J24-I24-H24</f>
        <v>0</v>
      </c>
    </row>
    <row r="25" spans="1:11" ht="12.75" hidden="1">
      <c r="A25" s="104"/>
      <c r="B25" s="104"/>
      <c r="C25" s="104"/>
      <c r="D25" s="104"/>
      <c r="E25" s="104" t="s">
        <v>119</v>
      </c>
      <c r="F25" s="451">
        <v>18</v>
      </c>
      <c r="G25" s="104">
        <v>0</v>
      </c>
      <c r="H25" s="104">
        <f t="shared" si="0"/>
        <v>0</v>
      </c>
      <c r="I25" s="104">
        <f t="shared" si="1"/>
        <v>0</v>
      </c>
      <c r="J25" s="104">
        <f t="shared" si="2"/>
        <v>0</v>
      </c>
      <c r="K25" s="104">
        <f t="shared" si="3"/>
        <v>0</v>
      </c>
    </row>
    <row r="26" spans="1:11" ht="12.75" hidden="1">
      <c r="A26" s="104"/>
      <c r="B26" s="104"/>
      <c r="C26" s="104"/>
      <c r="D26" s="104"/>
      <c r="E26" s="104" t="s">
        <v>120</v>
      </c>
      <c r="F26" s="451">
        <v>19</v>
      </c>
      <c r="G26" s="104">
        <v>0</v>
      </c>
      <c r="H26" s="104">
        <f t="shared" si="0"/>
        <v>0</v>
      </c>
      <c r="I26" s="104">
        <f t="shared" si="1"/>
        <v>0</v>
      </c>
      <c r="J26" s="104">
        <f t="shared" si="2"/>
        <v>0</v>
      </c>
      <c r="K26" s="104">
        <f t="shared" si="3"/>
        <v>0</v>
      </c>
    </row>
    <row r="27" spans="1:11" ht="12.75" hidden="1">
      <c r="A27" s="104"/>
      <c r="B27" s="104"/>
      <c r="C27" s="104"/>
      <c r="D27" s="104" t="s">
        <v>121</v>
      </c>
      <c r="E27" s="104" t="s">
        <v>100</v>
      </c>
      <c r="F27" s="451">
        <v>20</v>
      </c>
      <c r="G27" s="104">
        <v>0</v>
      </c>
      <c r="H27" s="104">
        <f t="shared" si="0"/>
        <v>0</v>
      </c>
      <c r="I27" s="104">
        <f t="shared" si="1"/>
        <v>0</v>
      </c>
      <c r="J27" s="104">
        <f t="shared" si="2"/>
        <v>0</v>
      </c>
      <c r="K27" s="104">
        <f t="shared" si="3"/>
        <v>0</v>
      </c>
    </row>
    <row r="28" spans="1:11" ht="12.75" hidden="1">
      <c r="A28" s="104"/>
      <c r="B28" s="104"/>
      <c r="C28" s="104"/>
      <c r="D28" s="104" t="s">
        <v>123</v>
      </c>
      <c r="E28" s="453" t="s">
        <v>495</v>
      </c>
      <c r="F28" s="451">
        <v>21</v>
      </c>
      <c r="G28" s="104">
        <v>0</v>
      </c>
      <c r="H28" s="104">
        <f t="shared" si="0"/>
        <v>0</v>
      </c>
      <c r="I28" s="104">
        <f t="shared" si="1"/>
        <v>0</v>
      </c>
      <c r="J28" s="104">
        <f t="shared" si="2"/>
        <v>0</v>
      </c>
      <c r="K28" s="104">
        <f t="shared" si="3"/>
        <v>0</v>
      </c>
    </row>
    <row r="29" spans="1:11" ht="12.75" hidden="1">
      <c r="A29" s="104"/>
      <c r="B29" s="104"/>
      <c r="C29" s="104"/>
      <c r="D29" s="104" t="s">
        <v>496</v>
      </c>
      <c r="E29" s="104" t="s">
        <v>102</v>
      </c>
      <c r="F29" s="451">
        <v>22</v>
      </c>
      <c r="G29" s="104">
        <v>0</v>
      </c>
      <c r="H29" s="104">
        <f t="shared" si="0"/>
        <v>0</v>
      </c>
      <c r="I29" s="104">
        <f t="shared" si="1"/>
        <v>0</v>
      </c>
      <c r="J29" s="104">
        <f t="shared" si="2"/>
        <v>0</v>
      </c>
      <c r="K29" s="104">
        <f t="shared" si="3"/>
        <v>0</v>
      </c>
    </row>
    <row r="30" spans="1:11" s="446" customFormat="1" ht="36" customHeight="1">
      <c r="A30" s="442"/>
      <c r="B30" s="443">
        <v>2</v>
      </c>
      <c r="C30" s="442"/>
      <c r="D30" s="444" t="s">
        <v>497</v>
      </c>
      <c r="E30" s="444"/>
      <c r="F30" s="445">
        <v>23</v>
      </c>
      <c r="G30" s="442">
        <f>H30+I30+J30+K30</f>
        <v>50</v>
      </c>
      <c r="H30" s="442">
        <v>10</v>
      </c>
      <c r="I30" s="442">
        <v>15</v>
      </c>
      <c r="J30" s="442">
        <v>15</v>
      </c>
      <c r="K30" s="442">
        <v>10</v>
      </c>
    </row>
    <row r="31" spans="1:11" ht="12" customHeight="1" hidden="1">
      <c r="A31" s="104"/>
      <c r="B31" s="104"/>
      <c r="C31" s="104" t="s">
        <v>51</v>
      </c>
      <c r="D31" s="455" t="s">
        <v>126</v>
      </c>
      <c r="E31" s="455"/>
      <c r="F31" s="451">
        <v>24</v>
      </c>
      <c r="G31" s="104">
        <v>0</v>
      </c>
      <c r="H31" s="104">
        <f t="shared" si="0"/>
        <v>0</v>
      </c>
      <c r="I31" s="104">
        <f aca="true" t="shared" si="4" ref="I31:I36">G31*30/100</f>
        <v>0</v>
      </c>
      <c r="J31" s="104">
        <f aca="true" t="shared" si="5" ref="J31:J36">G31*31/100</f>
        <v>0</v>
      </c>
      <c r="K31" s="104">
        <f aca="true" t="shared" si="6" ref="K31:K36">G31-J31-I31-H31</f>
        <v>0</v>
      </c>
    </row>
    <row r="32" spans="1:11" ht="12.75" hidden="1">
      <c r="A32" s="104"/>
      <c r="B32" s="104"/>
      <c r="C32" s="104" t="s">
        <v>59</v>
      </c>
      <c r="D32" s="455" t="s">
        <v>498</v>
      </c>
      <c r="E32" s="455"/>
      <c r="F32" s="451">
        <v>25</v>
      </c>
      <c r="G32" s="104">
        <v>0</v>
      </c>
      <c r="H32" s="104">
        <f t="shared" si="0"/>
        <v>0</v>
      </c>
      <c r="I32" s="104">
        <f t="shared" si="4"/>
        <v>0</v>
      </c>
      <c r="J32" s="104">
        <f t="shared" si="5"/>
        <v>0</v>
      </c>
      <c r="K32" s="104">
        <f t="shared" si="6"/>
        <v>0</v>
      </c>
    </row>
    <row r="33" spans="1:11" ht="12.75" hidden="1">
      <c r="A33" s="104"/>
      <c r="B33" s="104"/>
      <c r="C33" s="104" t="s">
        <v>61</v>
      </c>
      <c r="D33" s="455" t="s">
        <v>128</v>
      </c>
      <c r="E33" s="455"/>
      <c r="F33" s="451">
        <v>26</v>
      </c>
      <c r="G33" s="104">
        <v>0</v>
      </c>
      <c r="H33" s="104">
        <f t="shared" si="0"/>
        <v>0</v>
      </c>
      <c r="I33" s="104">
        <f t="shared" si="4"/>
        <v>0</v>
      </c>
      <c r="J33" s="104">
        <f t="shared" si="5"/>
        <v>0</v>
      </c>
      <c r="K33" s="104">
        <f t="shared" si="6"/>
        <v>0</v>
      </c>
    </row>
    <row r="34" spans="1:11" s="450" customFormat="1" ht="12.75">
      <c r="A34" s="447"/>
      <c r="B34" s="447"/>
      <c r="C34" s="447" t="s">
        <v>63</v>
      </c>
      <c r="D34" s="456" t="s">
        <v>499</v>
      </c>
      <c r="E34" s="456"/>
      <c r="F34" s="449">
        <v>27</v>
      </c>
      <c r="G34" s="447">
        <v>50</v>
      </c>
      <c r="H34" s="447">
        <f t="shared" si="0"/>
        <v>10</v>
      </c>
      <c r="I34" s="447">
        <f t="shared" si="4"/>
        <v>15</v>
      </c>
      <c r="J34" s="447">
        <f t="shared" si="5"/>
        <v>15.5</v>
      </c>
      <c r="K34" s="447">
        <f t="shared" si="6"/>
        <v>9.5</v>
      </c>
    </row>
    <row r="35" spans="1:11" s="450" customFormat="1" ht="12.75" hidden="1">
      <c r="A35" s="447"/>
      <c r="B35" s="447"/>
      <c r="C35" s="447" t="s">
        <v>65</v>
      </c>
      <c r="D35" s="456" t="s">
        <v>130</v>
      </c>
      <c r="E35" s="456"/>
      <c r="F35" s="449">
        <v>28</v>
      </c>
      <c r="G35" s="447">
        <v>0</v>
      </c>
      <c r="H35" s="447">
        <f t="shared" si="0"/>
        <v>0</v>
      </c>
      <c r="I35" s="447">
        <f t="shared" si="4"/>
        <v>0</v>
      </c>
      <c r="J35" s="447">
        <f t="shared" si="5"/>
        <v>0</v>
      </c>
      <c r="K35" s="447">
        <f t="shared" si="6"/>
        <v>0</v>
      </c>
    </row>
    <row r="36" spans="1:11" s="446" customFormat="1" ht="12.75">
      <c r="A36" s="442"/>
      <c r="B36" s="442">
        <v>3</v>
      </c>
      <c r="C36" s="457" t="s">
        <v>12</v>
      </c>
      <c r="D36" s="457"/>
      <c r="E36" s="457"/>
      <c r="F36" s="445">
        <v>29</v>
      </c>
      <c r="G36" s="442">
        <v>0</v>
      </c>
      <c r="H36" s="442">
        <f t="shared" si="0"/>
        <v>0</v>
      </c>
      <c r="I36" s="442">
        <f t="shared" si="4"/>
        <v>0</v>
      </c>
      <c r="J36" s="442">
        <f t="shared" si="5"/>
        <v>0</v>
      </c>
      <c r="K36" s="442">
        <f t="shared" si="6"/>
        <v>0</v>
      </c>
    </row>
    <row r="37" spans="1:11" s="441" customFormat="1" ht="21.75" customHeight="1">
      <c r="A37" s="435" t="s">
        <v>13</v>
      </c>
      <c r="B37" s="458" t="s">
        <v>500</v>
      </c>
      <c r="C37" s="458"/>
      <c r="D37" s="458"/>
      <c r="E37" s="458"/>
      <c r="F37" s="439">
        <v>30</v>
      </c>
      <c r="G37" s="440">
        <v>15065</v>
      </c>
      <c r="H37" s="440">
        <f>H38+H138+H146</f>
        <v>3013.4</v>
      </c>
      <c r="I37" s="440">
        <f>I38+I138+I146</f>
        <v>4593.2</v>
      </c>
      <c r="J37" s="440">
        <f>J38+J138+J146</f>
        <v>4319.889999999999</v>
      </c>
      <c r="K37" s="440">
        <f>K38+K138+K146</f>
        <v>3140.5100000000007</v>
      </c>
    </row>
    <row r="38" spans="1:11" s="446" customFormat="1" ht="27.75" customHeight="1">
      <c r="A38" s="442"/>
      <c r="B38" s="443">
        <v>1</v>
      </c>
      <c r="C38" s="459" t="s">
        <v>501</v>
      </c>
      <c r="D38" s="459"/>
      <c r="E38" s="459"/>
      <c r="F38" s="445">
        <v>31</v>
      </c>
      <c r="G38" s="442">
        <f>G39+G87+G94+G123</f>
        <v>15002</v>
      </c>
      <c r="H38" s="442">
        <f>H39+H87+H94+H123</f>
        <v>3000.4</v>
      </c>
      <c r="I38" s="442">
        <f>I39+I87+I94+I123</f>
        <v>4573.7</v>
      </c>
      <c r="J38" s="442">
        <f>J39+J87+J94+J123</f>
        <v>4299.74</v>
      </c>
      <c r="K38" s="442">
        <f>K39+K87+K94+K123</f>
        <v>3128.1600000000008</v>
      </c>
    </row>
    <row r="39" spans="1:11" s="450" customFormat="1" ht="27" customHeight="1">
      <c r="A39" s="447"/>
      <c r="B39" s="447"/>
      <c r="C39" s="460" t="s">
        <v>502</v>
      </c>
      <c r="D39" s="460"/>
      <c r="E39" s="460"/>
      <c r="F39" s="449">
        <v>32</v>
      </c>
      <c r="G39" s="447">
        <f>G40+G48+G54</f>
        <v>7028</v>
      </c>
      <c r="H39" s="447">
        <f>H40+H48+H54</f>
        <v>1405.6</v>
      </c>
      <c r="I39" s="447">
        <f>I40+I48+I54</f>
        <v>2181.5</v>
      </c>
      <c r="J39" s="447">
        <f>J40+J48+J54</f>
        <v>1827.8</v>
      </c>
      <c r="K39" s="447">
        <f>K40+K48+K54</f>
        <v>1613.1000000000001</v>
      </c>
    </row>
    <row r="40" spans="1:11" ht="12.75">
      <c r="A40" s="104"/>
      <c r="B40" s="104"/>
      <c r="C40" s="104" t="s">
        <v>134</v>
      </c>
      <c r="D40" s="461" t="s">
        <v>503</v>
      </c>
      <c r="E40" s="461"/>
      <c r="F40" s="451">
        <v>33</v>
      </c>
      <c r="G40" s="104">
        <f>G42+G45+G46</f>
        <v>2309</v>
      </c>
      <c r="H40" s="104">
        <f>H41+H42+H45+H46+H47</f>
        <v>461.79999999999995</v>
      </c>
      <c r="I40" s="104">
        <f>I41+I42+I45+I46+I47</f>
        <v>765.8000000000001</v>
      </c>
      <c r="J40" s="104">
        <f>J41+J42+J45+J46+J47</f>
        <v>364.90999999999997</v>
      </c>
      <c r="K40" s="104">
        <f>K41+K42+K45+K46+K47</f>
        <v>716.49</v>
      </c>
    </row>
    <row r="41" spans="1:11" ht="12.75" hidden="1">
      <c r="A41" s="104"/>
      <c r="B41" s="104"/>
      <c r="C41" s="104" t="s">
        <v>51</v>
      </c>
      <c r="D41" s="461" t="s">
        <v>504</v>
      </c>
      <c r="E41" s="461"/>
      <c r="F41" s="451">
        <v>34</v>
      </c>
      <c r="G41" s="104">
        <f>H41+I41+J41+K41</f>
        <v>0</v>
      </c>
      <c r="H41" s="104">
        <v>0</v>
      </c>
      <c r="I41" s="104">
        <v>0</v>
      </c>
      <c r="J41" s="104">
        <v>0</v>
      </c>
      <c r="K41" s="104">
        <v>0</v>
      </c>
    </row>
    <row r="42" spans="1:11" ht="27" customHeight="1">
      <c r="A42" s="104"/>
      <c r="B42" s="104"/>
      <c r="C42" s="104" t="s">
        <v>59</v>
      </c>
      <c r="D42" s="461" t="s">
        <v>505</v>
      </c>
      <c r="E42" s="461"/>
      <c r="F42" s="451">
        <v>35</v>
      </c>
      <c r="G42" s="104">
        <f>G43+G44</f>
        <v>1462</v>
      </c>
      <c r="H42" s="104">
        <f>G42*20/100</f>
        <v>292.4</v>
      </c>
      <c r="I42" s="104">
        <f>G42*35/100</f>
        <v>511.7</v>
      </c>
      <c r="J42" s="104">
        <f>H42*35/100</f>
        <v>102.34</v>
      </c>
      <c r="K42" s="104">
        <f>G42-J42-I42-H42</f>
        <v>555.5600000000001</v>
      </c>
    </row>
    <row r="43" spans="1:11" ht="12.75">
      <c r="A43" s="104"/>
      <c r="B43" s="104"/>
      <c r="C43" s="104"/>
      <c r="D43" s="104" t="s">
        <v>138</v>
      </c>
      <c r="E43" s="453" t="s">
        <v>139</v>
      </c>
      <c r="F43" s="451">
        <v>36</v>
      </c>
      <c r="G43" s="104">
        <v>307</v>
      </c>
      <c r="H43" s="104">
        <f>G43*20/100</f>
        <v>61.4</v>
      </c>
      <c r="I43" s="104">
        <f>G43*30/100</f>
        <v>92.1</v>
      </c>
      <c r="J43" s="104">
        <f>G43*31/100</f>
        <v>95.17</v>
      </c>
      <c r="K43" s="104">
        <f>G43-J43-I43-H43</f>
        <v>58.32999999999999</v>
      </c>
    </row>
    <row r="44" spans="1:11" ht="12.75">
      <c r="A44" s="104"/>
      <c r="B44" s="104"/>
      <c r="C44" s="104"/>
      <c r="D44" s="104" t="s">
        <v>140</v>
      </c>
      <c r="E44" s="104" t="s">
        <v>506</v>
      </c>
      <c r="F44" s="451">
        <v>37</v>
      </c>
      <c r="G44" s="104">
        <v>1155</v>
      </c>
      <c r="H44" s="104">
        <f>G44*20/100</f>
        <v>231</v>
      </c>
      <c r="I44" s="104">
        <f>G44*30/100</f>
        <v>346.5</v>
      </c>
      <c r="J44" s="104">
        <f>G44*31/100</f>
        <v>358.05</v>
      </c>
      <c r="K44" s="104">
        <f>G44-J44-I44-H44</f>
        <v>219.45000000000005</v>
      </c>
    </row>
    <row r="45" spans="1:11" ht="27" customHeight="1">
      <c r="A45" s="104"/>
      <c r="B45" s="104"/>
      <c r="C45" s="104" t="s">
        <v>61</v>
      </c>
      <c r="D45" s="461" t="s">
        <v>507</v>
      </c>
      <c r="E45" s="461"/>
      <c r="F45" s="451">
        <v>38</v>
      </c>
      <c r="G45" s="104">
        <v>60</v>
      </c>
      <c r="H45" s="104">
        <f>G45*20/100</f>
        <v>12</v>
      </c>
      <c r="I45" s="104">
        <f>G45*30/100</f>
        <v>18</v>
      </c>
      <c r="J45" s="104">
        <f>G45*31/100</f>
        <v>18.6</v>
      </c>
      <c r="K45" s="104">
        <f>G45-J45-I45-H45</f>
        <v>11.399999999999999</v>
      </c>
    </row>
    <row r="46" spans="1:11" ht="12.75">
      <c r="A46" s="104"/>
      <c r="B46" s="104"/>
      <c r="C46" s="104" t="s">
        <v>63</v>
      </c>
      <c r="D46" s="461" t="s">
        <v>508</v>
      </c>
      <c r="E46" s="461"/>
      <c r="F46" s="451">
        <v>39</v>
      </c>
      <c r="G46" s="104">
        <v>787</v>
      </c>
      <c r="H46" s="104">
        <f>G46*20/100</f>
        <v>157.4</v>
      </c>
      <c r="I46" s="104">
        <f>G46*30/100</f>
        <v>236.1</v>
      </c>
      <c r="J46" s="104">
        <f>G46*31/100</f>
        <v>243.97</v>
      </c>
      <c r="K46" s="104">
        <f>G46-J46-I46-H46</f>
        <v>149.52999999999994</v>
      </c>
    </row>
    <row r="47" spans="1:11" ht="18" customHeight="1" hidden="1">
      <c r="A47" s="104"/>
      <c r="B47" s="104"/>
      <c r="C47" s="104" t="s">
        <v>65</v>
      </c>
      <c r="D47" s="461" t="s">
        <v>509</v>
      </c>
      <c r="E47" s="461"/>
      <c r="F47" s="451">
        <v>40</v>
      </c>
      <c r="G47" s="104">
        <f>H47+I47+J47+K47</f>
        <v>0</v>
      </c>
      <c r="H47" s="104">
        <v>0</v>
      </c>
      <c r="I47" s="104">
        <v>0</v>
      </c>
      <c r="J47" s="104">
        <v>0</v>
      </c>
      <c r="K47" s="104">
        <v>0</v>
      </c>
    </row>
    <row r="48" spans="1:11" s="467" customFormat="1" ht="48" customHeight="1">
      <c r="A48" s="462"/>
      <c r="B48" s="462"/>
      <c r="C48" s="462" t="s">
        <v>145</v>
      </c>
      <c r="D48" s="463" t="s">
        <v>510</v>
      </c>
      <c r="E48" s="463"/>
      <c r="F48" s="464">
        <v>41</v>
      </c>
      <c r="G48" s="465">
        <f>G49+G53</f>
        <v>2605</v>
      </c>
      <c r="H48" s="466">
        <f>H49+H50+H53</f>
        <v>521</v>
      </c>
      <c r="I48" s="466">
        <f>I49+I50+I53</f>
        <v>781.5</v>
      </c>
      <c r="J48" s="466">
        <f>J49+J50+J53</f>
        <v>807.5500000000001</v>
      </c>
      <c r="K48" s="466">
        <f>K49+K50+K53</f>
        <v>494.94999999999993</v>
      </c>
    </row>
    <row r="49" spans="1:11" ht="30" customHeight="1">
      <c r="A49" s="104"/>
      <c r="B49" s="104"/>
      <c r="C49" s="104" t="s">
        <v>51</v>
      </c>
      <c r="D49" s="461" t="s">
        <v>147</v>
      </c>
      <c r="E49" s="461"/>
      <c r="F49" s="451">
        <v>42</v>
      </c>
      <c r="G49" s="104">
        <v>2445</v>
      </c>
      <c r="H49" s="104">
        <f>G49*20/100</f>
        <v>489</v>
      </c>
      <c r="I49" s="104">
        <f>G49*30/100</f>
        <v>733.5</v>
      </c>
      <c r="J49" s="104">
        <f>G49*31/100</f>
        <v>757.95</v>
      </c>
      <c r="K49" s="104">
        <f>G49-J49-I49-H49</f>
        <v>464.54999999999995</v>
      </c>
    </row>
    <row r="50" spans="1:11" ht="28.5" customHeight="1" hidden="1">
      <c r="A50" s="104"/>
      <c r="B50" s="104"/>
      <c r="C50" s="104" t="s">
        <v>59</v>
      </c>
      <c r="D50" s="461" t="s">
        <v>511</v>
      </c>
      <c r="E50" s="461"/>
      <c r="F50" s="451">
        <v>43</v>
      </c>
      <c r="G50" s="104">
        <v>0</v>
      </c>
      <c r="H50" s="104">
        <f>H51+H52</f>
        <v>0</v>
      </c>
      <c r="I50" s="104">
        <f>I51+I52</f>
        <v>0</v>
      </c>
      <c r="J50" s="104">
        <f>J51+J52</f>
        <v>0</v>
      </c>
      <c r="K50" s="104">
        <f>K51+K52</f>
        <v>0</v>
      </c>
    </row>
    <row r="51" spans="1:11" ht="25.5" customHeight="1" hidden="1">
      <c r="A51" s="104"/>
      <c r="B51" s="104"/>
      <c r="C51" s="104"/>
      <c r="D51" s="104" t="s">
        <v>138</v>
      </c>
      <c r="E51" s="453" t="s">
        <v>149</v>
      </c>
      <c r="F51" s="451">
        <v>44</v>
      </c>
      <c r="G51" s="104">
        <v>0</v>
      </c>
      <c r="H51" s="104">
        <f>G51*20/100</f>
        <v>0</v>
      </c>
      <c r="I51" s="104">
        <f>G51*30/100</f>
        <v>0</v>
      </c>
      <c r="J51" s="104">
        <f>G51*31/100</f>
        <v>0</v>
      </c>
      <c r="K51" s="104">
        <f>G51-J51-I51-H51</f>
        <v>0</v>
      </c>
    </row>
    <row r="52" spans="1:11" ht="12.75" hidden="1">
      <c r="A52" s="104"/>
      <c r="B52" s="104"/>
      <c r="C52" s="104"/>
      <c r="D52" s="104" t="s">
        <v>140</v>
      </c>
      <c r="E52" s="453" t="s">
        <v>150</v>
      </c>
      <c r="F52" s="451">
        <v>45</v>
      </c>
      <c r="G52" s="104">
        <v>0</v>
      </c>
      <c r="H52" s="104">
        <f>G52*20/100</f>
        <v>0</v>
      </c>
      <c r="I52" s="104">
        <f>G52*30/100</f>
        <v>0</v>
      </c>
      <c r="J52" s="104">
        <f>G52*31/100</f>
        <v>0</v>
      </c>
      <c r="K52" s="104">
        <f>G52-J52-I52-H52</f>
        <v>0</v>
      </c>
    </row>
    <row r="53" spans="1:11" ht="28.5" customHeight="1">
      <c r="A53" s="104"/>
      <c r="B53" s="104"/>
      <c r="C53" s="104" t="s">
        <v>61</v>
      </c>
      <c r="D53" s="461" t="s">
        <v>151</v>
      </c>
      <c r="E53" s="461"/>
      <c r="F53" s="451">
        <v>46</v>
      </c>
      <c r="G53" s="104">
        <v>160</v>
      </c>
      <c r="H53" s="104">
        <f>G53*20/100</f>
        <v>32</v>
      </c>
      <c r="I53" s="104">
        <f>G53*30/100</f>
        <v>48</v>
      </c>
      <c r="J53" s="104">
        <f>G53*31/100</f>
        <v>49.6</v>
      </c>
      <c r="K53" s="104">
        <f>G53-J53-I53-H53</f>
        <v>30.400000000000006</v>
      </c>
    </row>
    <row r="54" spans="1:11" ht="57.75" customHeight="1">
      <c r="A54" s="104"/>
      <c r="B54" s="104"/>
      <c r="C54" s="468" t="s">
        <v>152</v>
      </c>
      <c r="D54" s="461" t="s">
        <v>512</v>
      </c>
      <c r="E54" s="461"/>
      <c r="F54" s="468">
        <v>47</v>
      </c>
      <c r="G54" s="468">
        <f>G55+G56+G58+G70+G71+G75+G76+G77+G86</f>
        <v>2114</v>
      </c>
      <c r="H54" s="468">
        <f>H55+H56+H58+H65+H70+H71+H75+H76+H77+H86</f>
        <v>422.79999999999995</v>
      </c>
      <c r="I54" s="468">
        <f>I55+I56+I58+I65+I70+I71+I75+I76+I77+I86</f>
        <v>634.1999999999999</v>
      </c>
      <c r="J54" s="468">
        <f>J55+J56+J58+J65+J70+J71+J75+J76+J77+J86</f>
        <v>655.3399999999999</v>
      </c>
      <c r="K54" s="468">
        <f>K55+K56+K58+K65+K70+K71+K75+K76+K77+K86</f>
        <v>401.66000000000014</v>
      </c>
    </row>
    <row r="55" spans="1:11" ht="28.5" customHeight="1">
      <c r="A55" s="104"/>
      <c r="B55" s="104"/>
      <c r="C55" s="104" t="s">
        <v>51</v>
      </c>
      <c r="D55" s="461" t="s">
        <v>154</v>
      </c>
      <c r="E55" s="461"/>
      <c r="F55" s="451">
        <v>48</v>
      </c>
      <c r="G55" s="104">
        <v>1218</v>
      </c>
      <c r="H55" s="104">
        <f>G55*20/100</f>
        <v>243.6</v>
      </c>
      <c r="I55" s="104">
        <f>G55*30/100</f>
        <v>365.4</v>
      </c>
      <c r="J55" s="104">
        <f>G55*31/100</f>
        <v>377.58</v>
      </c>
      <c r="K55" s="104">
        <f>G55-J55-I55-H55</f>
        <v>231.4200000000001</v>
      </c>
    </row>
    <row r="56" spans="1:11" ht="27" customHeight="1">
      <c r="A56" s="104"/>
      <c r="B56" s="104"/>
      <c r="C56" s="104" t="s">
        <v>59</v>
      </c>
      <c r="D56" s="461" t="s">
        <v>155</v>
      </c>
      <c r="E56" s="461"/>
      <c r="F56" s="451">
        <v>49</v>
      </c>
      <c r="G56" s="104">
        <f>G57</f>
        <v>93</v>
      </c>
      <c r="H56" s="104">
        <f>G56*20/100</f>
        <v>18.6</v>
      </c>
      <c r="I56" s="104">
        <f>G56*30/100</f>
        <v>27.9</v>
      </c>
      <c r="J56" s="104">
        <f>G56*31/100</f>
        <v>28.83</v>
      </c>
      <c r="K56" s="104">
        <f>G56-J56-I56-H56</f>
        <v>17.67</v>
      </c>
    </row>
    <row r="57" spans="1:11" ht="12.75">
      <c r="A57" s="104"/>
      <c r="B57" s="104"/>
      <c r="C57" s="104"/>
      <c r="D57" s="104" t="s">
        <v>138</v>
      </c>
      <c r="E57" s="453" t="s">
        <v>513</v>
      </c>
      <c r="F57" s="451">
        <v>50</v>
      </c>
      <c r="G57" s="104">
        <v>93</v>
      </c>
      <c r="H57" s="104">
        <f>G57*20/100</f>
        <v>18.6</v>
      </c>
      <c r="I57" s="104">
        <f>G57*30/100</f>
        <v>27.9</v>
      </c>
      <c r="J57" s="104">
        <f>G57*31/100</f>
        <v>28.83</v>
      </c>
      <c r="K57" s="104">
        <f>G57-J57-I57-H57</f>
        <v>17.67</v>
      </c>
    </row>
    <row r="58" spans="1:11" ht="30" customHeight="1">
      <c r="A58" s="104"/>
      <c r="B58" s="104"/>
      <c r="C58" s="104" t="s">
        <v>61</v>
      </c>
      <c r="D58" s="461" t="s">
        <v>514</v>
      </c>
      <c r="E58" s="461"/>
      <c r="F58" s="451">
        <v>51</v>
      </c>
      <c r="G58" s="104">
        <f>H58+I58+J58+K58</f>
        <v>21</v>
      </c>
      <c r="H58" s="104">
        <f>H59+H61</f>
        <v>4.2</v>
      </c>
      <c r="I58" s="104">
        <f>I59+I61</f>
        <v>6.3</v>
      </c>
      <c r="J58" s="104">
        <f>J59+J61</f>
        <v>6.51</v>
      </c>
      <c r="K58" s="104">
        <f>K59+K61</f>
        <v>3.990000000000001</v>
      </c>
    </row>
    <row r="59" spans="1:11" ht="12.75" hidden="1">
      <c r="A59" s="104"/>
      <c r="B59" s="104"/>
      <c r="C59" s="104"/>
      <c r="D59" s="104" t="s">
        <v>105</v>
      </c>
      <c r="E59" s="453" t="s">
        <v>515</v>
      </c>
      <c r="F59" s="451">
        <v>52</v>
      </c>
      <c r="G59" s="104">
        <f>H59+I59+J59+K59</f>
        <v>0</v>
      </c>
      <c r="H59" s="104">
        <f>H60</f>
        <v>0</v>
      </c>
      <c r="I59" s="104">
        <f>I60</f>
        <v>0</v>
      </c>
      <c r="J59" s="104">
        <f>J60</f>
        <v>0</v>
      </c>
      <c r="K59" s="104">
        <f>K60</f>
        <v>0</v>
      </c>
    </row>
    <row r="60" spans="1:11" ht="25.5" hidden="1">
      <c r="A60" s="104"/>
      <c r="B60" s="104"/>
      <c r="C60" s="104"/>
      <c r="D60" s="104"/>
      <c r="E60" s="453" t="s">
        <v>516</v>
      </c>
      <c r="F60" s="451">
        <v>53</v>
      </c>
      <c r="G60" s="104">
        <f>H60+I60+J60+K60</f>
        <v>0</v>
      </c>
      <c r="H60" s="104">
        <v>0</v>
      </c>
      <c r="I60" s="104">
        <v>0</v>
      </c>
      <c r="J60" s="104">
        <v>0</v>
      </c>
      <c r="K60" s="104">
        <v>0</v>
      </c>
    </row>
    <row r="61" spans="1:11" ht="26.25" customHeight="1">
      <c r="A61" s="104"/>
      <c r="B61" s="104"/>
      <c r="C61" s="104"/>
      <c r="D61" s="104" t="s">
        <v>107</v>
      </c>
      <c r="E61" s="453" t="s">
        <v>517</v>
      </c>
      <c r="F61" s="451">
        <v>54</v>
      </c>
      <c r="G61" s="104">
        <f>G64</f>
        <v>21</v>
      </c>
      <c r="H61" s="104">
        <f>H62+H63+H64</f>
        <v>4.2</v>
      </c>
      <c r="I61" s="104">
        <f>I62+I63+I64</f>
        <v>6.3</v>
      </c>
      <c r="J61" s="104">
        <f>J62+J63+J64</f>
        <v>6.51</v>
      </c>
      <c r="K61" s="104">
        <f>K62+K63+K64</f>
        <v>3.990000000000001</v>
      </c>
    </row>
    <row r="62" spans="1:11" ht="25.5" hidden="1">
      <c r="A62" s="104"/>
      <c r="B62" s="104"/>
      <c r="C62" s="104"/>
      <c r="D62" s="104"/>
      <c r="E62" s="469" t="s">
        <v>518</v>
      </c>
      <c r="F62" s="451">
        <v>55</v>
      </c>
      <c r="G62" s="104">
        <f>H62+I62+J62+K62</f>
        <v>0</v>
      </c>
      <c r="H62" s="104">
        <v>0</v>
      </c>
      <c r="I62" s="104">
        <v>0</v>
      </c>
      <c r="J62" s="104">
        <v>0</v>
      </c>
      <c r="K62" s="104">
        <v>0</v>
      </c>
    </row>
    <row r="63" spans="1:11" ht="38.25" hidden="1">
      <c r="A63" s="104"/>
      <c r="B63" s="104"/>
      <c r="C63" s="104"/>
      <c r="D63" s="104"/>
      <c r="E63" s="453" t="s">
        <v>519</v>
      </c>
      <c r="F63" s="451">
        <v>56</v>
      </c>
      <c r="G63" s="104">
        <f>H63+I63+J63+K63</f>
        <v>0</v>
      </c>
      <c r="H63" s="104">
        <v>0</v>
      </c>
      <c r="I63" s="104">
        <v>0</v>
      </c>
      <c r="J63" s="104">
        <v>0</v>
      </c>
      <c r="K63" s="104">
        <v>0</v>
      </c>
    </row>
    <row r="64" spans="1:11" ht="12.75">
      <c r="A64" s="104"/>
      <c r="B64" s="104"/>
      <c r="C64" s="104"/>
      <c r="D64" s="104"/>
      <c r="E64" s="453" t="s">
        <v>520</v>
      </c>
      <c r="F64" s="451">
        <v>57</v>
      </c>
      <c r="G64" s="104">
        <v>21</v>
      </c>
      <c r="H64" s="104">
        <f>G64*20/100</f>
        <v>4.2</v>
      </c>
      <c r="I64" s="104">
        <f>G64*30/100</f>
        <v>6.3</v>
      </c>
      <c r="J64" s="104">
        <f>G64*31/100</f>
        <v>6.51</v>
      </c>
      <c r="K64" s="104">
        <f>G64-J64-I64-H64</f>
        <v>3.990000000000001</v>
      </c>
    </row>
    <row r="65" spans="1:11" ht="37.5" customHeight="1" hidden="1">
      <c r="A65" s="104"/>
      <c r="B65" s="104"/>
      <c r="C65" s="104" t="s">
        <v>63</v>
      </c>
      <c r="D65" s="461" t="s">
        <v>521</v>
      </c>
      <c r="E65" s="461"/>
      <c r="F65" s="451">
        <v>58</v>
      </c>
      <c r="G65" s="104">
        <f>H65+I65+J65+K65</f>
        <v>0</v>
      </c>
      <c r="H65" s="104">
        <f>H66+H67+H68+H69</f>
        <v>0</v>
      </c>
      <c r="I65" s="104">
        <f>I66+I67+I68+I69</f>
        <v>0</v>
      </c>
      <c r="J65" s="104">
        <f>J66+J67+J68+J69</f>
        <v>0</v>
      </c>
      <c r="K65" s="104">
        <f>K66+K67+K68+K69</f>
        <v>0</v>
      </c>
    </row>
    <row r="66" spans="1:11" ht="12.75" hidden="1">
      <c r="A66" s="104"/>
      <c r="B66" s="104"/>
      <c r="C66" s="104"/>
      <c r="D66" s="104" t="s">
        <v>165</v>
      </c>
      <c r="E66" s="453" t="s">
        <v>522</v>
      </c>
      <c r="F66" s="451">
        <v>59</v>
      </c>
      <c r="G66" s="104">
        <f>H66+I66+J66+K66</f>
        <v>0</v>
      </c>
      <c r="H66" s="104">
        <v>0</v>
      </c>
      <c r="I66" s="104">
        <v>0</v>
      </c>
      <c r="J66" s="104">
        <v>0</v>
      </c>
      <c r="K66" s="104">
        <v>0</v>
      </c>
    </row>
    <row r="67" spans="1:11" ht="12.75" hidden="1">
      <c r="A67" s="104"/>
      <c r="B67" s="104"/>
      <c r="C67" s="104"/>
      <c r="D67" s="104" t="s">
        <v>167</v>
      </c>
      <c r="E67" s="453" t="s">
        <v>523</v>
      </c>
      <c r="F67" s="451">
        <v>60</v>
      </c>
      <c r="G67" s="104">
        <f>H67+I67+J67+K67</f>
        <v>0</v>
      </c>
      <c r="H67" s="104">
        <v>0</v>
      </c>
      <c r="I67" s="104">
        <v>0</v>
      </c>
      <c r="J67" s="104">
        <v>0</v>
      </c>
      <c r="K67" s="104">
        <v>0</v>
      </c>
    </row>
    <row r="68" spans="1:11" ht="12.75" hidden="1">
      <c r="A68" s="104"/>
      <c r="B68" s="104"/>
      <c r="C68" s="104"/>
      <c r="D68" s="104" t="s">
        <v>169</v>
      </c>
      <c r="E68" s="453" t="s">
        <v>170</v>
      </c>
      <c r="F68" s="451">
        <v>61</v>
      </c>
      <c r="G68" s="104">
        <f>H68+I68+J68+K68</f>
        <v>0</v>
      </c>
      <c r="H68" s="104">
        <v>0</v>
      </c>
      <c r="I68" s="104">
        <v>0</v>
      </c>
      <c r="J68" s="104">
        <v>0</v>
      </c>
      <c r="K68" s="104">
        <v>0</v>
      </c>
    </row>
    <row r="69" spans="1:11" ht="12.75" hidden="1">
      <c r="A69" s="104"/>
      <c r="B69" s="104"/>
      <c r="C69" s="104"/>
      <c r="D69" s="104" t="s">
        <v>171</v>
      </c>
      <c r="E69" s="453" t="s">
        <v>172</v>
      </c>
      <c r="F69" s="451">
        <v>62</v>
      </c>
      <c r="G69" s="104">
        <f>H69+I69+J69+K69</f>
        <v>0</v>
      </c>
      <c r="H69" s="104">
        <v>0</v>
      </c>
      <c r="I69" s="104">
        <v>0</v>
      </c>
      <c r="J69" s="104">
        <v>0</v>
      </c>
      <c r="K69" s="104">
        <v>0</v>
      </c>
    </row>
    <row r="70" spans="1:11" ht="32.25" customHeight="1">
      <c r="A70" s="104"/>
      <c r="B70" s="104"/>
      <c r="C70" s="104" t="s">
        <v>65</v>
      </c>
      <c r="D70" s="461" t="s">
        <v>173</v>
      </c>
      <c r="E70" s="461"/>
      <c r="F70" s="451">
        <v>63</v>
      </c>
      <c r="G70" s="104">
        <v>10</v>
      </c>
      <c r="H70" s="104">
        <f>G70*20/100</f>
        <v>2</v>
      </c>
      <c r="I70" s="104">
        <f>G70*30/100</f>
        <v>3</v>
      </c>
      <c r="J70" s="104">
        <f>G70*31/100</f>
        <v>3.1</v>
      </c>
      <c r="K70" s="104">
        <f>G70-J70-I70-H70</f>
        <v>1.9000000000000004</v>
      </c>
    </row>
    <row r="71" spans="1:11" ht="32.25" customHeight="1">
      <c r="A71" s="104"/>
      <c r="B71" s="104"/>
      <c r="C71" s="104" t="s">
        <v>113</v>
      </c>
      <c r="D71" s="461" t="s">
        <v>524</v>
      </c>
      <c r="E71" s="461"/>
      <c r="F71" s="451">
        <v>64</v>
      </c>
      <c r="G71" s="104">
        <v>35</v>
      </c>
      <c r="H71" s="104">
        <f>G71*20/100</f>
        <v>7</v>
      </c>
      <c r="I71" s="104">
        <f>G71*30/100</f>
        <v>10.5</v>
      </c>
      <c r="J71" s="104">
        <f>G71*31/100</f>
        <v>10.85</v>
      </c>
      <c r="K71" s="104">
        <f>G71-J71-I71-H71</f>
        <v>6.649999999999999</v>
      </c>
    </row>
    <row r="72" spans="1:11" ht="32.25" customHeight="1" hidden="1">
      <c r="A72" s="104"/>
      <c r="B72" s="104"/>
      <c r="C72" s="104"/>
      <c r="D72" s="461" t="s">
        <v>525</v>
      </c>
      <c r="E72" s="461"/>
      <c r="F72" s="451">
        <v>65</v>
      </c>
      <c r="G72" s="104">
        <f>H72+I72+J72+K72</f>
        <v>0</v>
      </c>
      <c r="H72" s="104">
        <f>H73+H74</f>
        <v>0</v>
      </c>
      <c r="I72" s="104">
        <f>I73+I74</f>
        <v>0</v>
      </c>
      <c r="J72" s="104">
        <f>J73+J74</f>
        <v>0</v>
      </c>
      <c r="K72" s="104">
        <f>K73+K74</f>
        <v>0</v>
      </c>
    </row>
    <row r="73" spans="1:11" ht="14.25" customHeight="1" hidden="1">
      <c r="A73" s="104"/>
      <c r="B73" s="104"/>
      <c r="C73" s="104"/>
      <c r="D73" s="461" t="s">
        <v>526</v>
      </c>
      <c r="E73" s="461"/>
      <c r="F73" s="451">
        <v>66</v>
      </c>
      <c r="G73" s="104">
        <f>H73+I73+J73+K73</f>
        <v>0</v>
      </c>
      <c r="H73" s="101">
        <v>0</v>
      </c>
      <c r="I73" s="104">
        <v>0</v>
      </c>
      <c r="J73" s="104">
        <v>0</v>
      </c>
      <c r="K73" s="104">
        <v>0</v>
      </c>
    </row>
    <row r="74" spans="1:11" ht="17.25" customHeight="1" hidden="1">
      <c r="A74" s="104"/>
      <c r="B74" s="104"/>
      <c r="C74" s="104"/>
      <c r="D74" s="461" t="s">
        <v>527</v>
      </c>
      <c r="E74" s="461"/>
      <c r="F74" s="451">
        <v>67</v>
      </c>
      <c r="G74" s="104">
        <f>H74+I74+J74+K74</f>
        <v>0</v>
      </c>
      <c r="H74" s="104">
        <v>0</v>
      </c>
      <c r="I74" s="104">
        <v>0</v>
      </c>
      <c r="J74" s="104">
        <v>0</v>
      </c>
      <c r="K74" s="104">
        <v>0</v>
      </c>
    </row>
    <row r="75" spans="1:11" ht="32.25" customHeight="1">
      <c r="A75" s="104"/>
      <c r="B75" s="104"/>
      <c r="C75" s="104" t="s">
        <v>178</v>
      </c>
      <c r="D75" s="461" t="s">
        <v>179</v>
      </c>
      <c r="E75" s="461"/>
      <c r="F75" s="451">
        <v>68</v>
      </c>
      <c r="G75" s="104">
        <v>123</v>
      </c>
      <c r="H75" s="104">
        <f>G75*20/100</f>
        <v>24.6</v>
      </c>
      <c r="I75" s="104">
        <f>G75*30/100</f>
        <v>36.9</v>
      </c>
      <c r="J75" s="104">
        <f>G75*31/100</f>
        <v>38.13</v>
      </c>
      <c r="K75" s="104">
        <f>G75-J75-I75-H75</f>
        <v>23.370000000000005</v>
      </c>
    </row>
    <row r="76" spans="1:11" ht="32.25" customHeight="1">
      <c r="A76" s="104"/>
      <c r="B76" s="104"/>
      <c r="C76" s="104" t="s">
        <v>180</v>
      </c>
      <c r="D76" s="461" t="s">
        <v>181</v>
      </c>
      <c r="E76" s="461"/>
      <c r="F76" s="451">
        <v>69</v>
      </c>
      <c r="G76" s="104">
        <v>16</v>
      </c>
      <c r="H76" s="104">
        <f>G76*20/100</f>
        <v>3.2</v>
      </c>
      <c r="I76" s="104">
        <f>G76*30/100</f>
        <v>4.8</v>
      </c>
      <c r="J76" s="104">
        <f>G76*31/100</f>
        <v>4.96</v>
      </c>
      <c r="K76" s="104">
        <f>G76-J76-I76-H76</f>
        <v>3.039999999999999</v>
      </c>
    </row>
    <row r="77" spans="1:11" ht="27.75" customHeight="1">
      <c r="A77" s="104"/>
      <c r="B77" s="104"/>
      <c r="C77" s="104" t="s">
        <v>182</v>
      </c>
      <c r="D77" s="461" t="s">
        <v>183</v>
      </c>
      <c r="E77" s="461"/>
      <c r="F77" s="451">
        <v>70</v>
      </c>
      <c r="G77" s="104">
        <f>G78+G80+G81+G83+G84+G85</f>
        <v>523</v>
      </c>
      <c r="H77" s="104">
        <f>H78+H79+H80+H81+H82+H83+H84+H85</f>
        <v>104.6</v>
      </c>
      <c r="I77" s="104">
        <f>I78+I79+I80+I81+I82+I83+I84+I85</f>
        <v>156.9</v>
      </c>
      <c r="J77" s="104">
        <f>J78+J79+J80+J81+J82+J83+J84+J85</f>
        <v>162.13</v>
      </c>
      <c r="K77" s="104">
        <f>K78+K79+K80+K81+K82+K83+K84+K85</f>
        <v>99.37</v>
      </c>
    </row>
    <row r="78" spans="1:11" ht="12.75">
      <c r="A78" s="104"/>
      <c r="B78" s="104"/>
      <c r="C78" s="104"/>
      <c r="D78" s="104" t="s">
        <v>184</v>
      </c>
      <c r="E78" s="453" t="s">
        <v>185</v>
      </c>
      <c r="F78" s="451">
        <v>71</v>
      </c>
      <c r="G78" s="104">
        <v>450</v>
      </c>
      <c r="H78" s="104">
        <f aca="true" t="shared" si="7" ref="H78:H86">G78*20/100</f>
        <v>90</v>
      </c>
      <c r="I78" s="104">
        <f aca="true" t="shared" si="8" ref="I78:I86">G78*30/100</f>
        <v>135</v>
      </c>
      <c r="J78" s="104">
        <f aca="true" t="shared" si="9" ref="J78:J86">G78*31/100</f>
        <v>139.5</v>
      </c>
      <c r="K78" s="104">
        <f aca="true" t="shared" si="10" ref="K78:K86">G78-J78-I78-H78</f>
        <v>85.5</v>
      </c>
    </row>
    <row r="79" spans="1:11" ht="25.5" hidden="1">
      <c r="A79" s="104"/>
      <c r="B79" s="104"/>
      <c r="C79" s="104"/>
      <c r="D79" s="104" t="s">
        <v>186</v>
      </c>
      <c r="E79" s="469" t="s">
        <v>187</v>
      </c>
      <c r="F79" s="451">
        <v>72</v>
      </c>
      <c r="G79" s="104">
        <v>0</v>
      </c>
      <c r="H79" s="104">
        <f t="shared" si="7"/>
        <v>0</v>
      </c>
      <c r="I79" s="104">
        <f t="shared" si="8"/>
        <v>0</v>
      </c>
      <c r="J79" s="104">
        <f t="shared" si="9"/>
        <v>0</v>
      </c>
      <c r="K79" s="104">
        <f t="shared" si="10"/>
        <v>0</v>
      </c>
    </row>
    <row r="80" spans="1:11" ht="24" customHeight="1">
      <c r="A80" s="104"/>
      <c r="B80" s="104"/>
      <c r="C80" s="104"/>
      <c r="D80" s="104" t="s">
        <v>188</v>
      </c>
      <c r="E80" s="453" t="s">
        <v>528</v>
      </c>
      <c r="F80" s="451">
        <v>73</v>
      </c>
      <c r="G80" s="104">
        <v>73</v>
      </c>
      <c r="H80" s="104">
        <f t="shared" si="7"/>
        <v>14.6</v>
      </c>
      <c r="I80" s="104">
        <f t="shared" si="8"/>
        <v>21.9</v>
      </c>
      <c r="J80" s="104">
        <f t="shared" si="9"/>
        <v>22.63</v>
      </c>
      <c r="K80" s="104">
        <f t="shared" si="10"/>
        <v>13.870000000000006</v>
      </c>
    </row>
    <row r="81" spans="1:11" ht="25.5" hidden="1">
      <c r="A81" s="104"/>
      <c r="B81" s="104"/>
      <c r="C81" s="104"/>
      <c r="D81" s="104" t="s">
        <v>190</v>
      </c>
      <c r="E81" s="453" t="s">
        <v>529</v>
      </c>
      <c r="F81" s="451">
        <v>74</v>
      </c>
      <c r="G81" s="104">
        <v>0</v>
      </c>
      <c r="H81" s="104">
        <f t="shared" si="7"/>
        <v>0</v>
      </c>
      <c r="I81" s="104">
        <f t="shared" si="8"/>
        <v>0</v>
      </c>
      <c r="J81" s="104">
        <f t="shared" si="9"/>
        <v>0</v>
      </c>
      <c r="K81" s="104">
        <f t="shared" si="10"/>
        <v>0</v>
      </c>
    </row>
    <row r="82" spans="1:11" ht="12.75" hidden="1">
      <c r="A82" s="104"/>
      <c r="B82" s="104"/>
      <c r="C82" s="104"/>
      <c r="D82" s="104"/>
      <c r="E82" s="453" t="s">
        <v>192</v>
      </c>
      <c r="F82" s="451">
        <v>75</v>
      </c>
      <c r="G82" s="104">
        <v>0</v>
      </c>
      <c r="H82" s="104">
        <f t="shared" si="7"/>
        <v>0</v>
      </c>
      <c r="I82" s="104">
        <f t="shared" si="8"/>
        <v>0</v>
      </c>
      <c r="J82" s="104">
        <f t="shared" si="9"/>
        <v>0</v>
      </c>
      <c r="K82" s="104">
        <f t="shared" si="10"/>
        <v>0</v>
      </c>
    </row>
    <row r="83" spans="1:11" ht="12.75" hidden="1">
      <c r="A83" s="104"/>
      <c r="B83" s="104"/>
      <c r="C83" s="104"/>
      <c r="D83" s="104" t="s">
        <v>193</v>
      </c>
      <c r="E83" s="453" t="s">
        <v>194</v>
      </c>
      <c r="F83" s="451">
        <v>76</v>
      </c>
      <c r="G83" s="104">
        <v>0</v>
      </c>
      <c r="H83" s="104">
        <f t="shared" si="7"/>
        <v>0</v>
      </c>
      <c r="I83" s="104">
        <f t="shared" si="8"/>
        <v>0</v>
      </c>
      <c r="J83" s="104">
        <f t="shared" si="9"/>
        <v>0</v>
      </c>
      <c r="K83" s="104">
        <f t="shared" si="10"/>
        <v>0</v>
      </c>
    </row>
    <row r="84" spans="1:11" ht="38.25" hidden="1">
      <c r="A84" s="104"/>
      <c r="B84" s="104"/>
      <c r="C84" s="104"/>
      <c r="D84" s="104" t="s">
        <v>195</v>
      </c>
      <c r="E84" s="453" t="s">
        <v>530</v>
      </c>
      <c r="F84" s="451">
        <v>77</v>
      </c>
      <c r="G84" s="104">
        <v>0</v>
      </c>
      <c r="H84" s="104">
        <f t="shared" si="7"/>
        <v>0</v>
      </c>
      <c r="I84" s="104">
        <f t="shared" si="8"/>
        <v>0</v>
      </c>
      <c r="J84" s="104">
        <f t="shared" si="9"/>
        <v>0</v>
      </c>
      <c r="K84" s="104">
        <f t="shared" si="10"/>
        <v>0</v>
      </c>
    </row>
    <row r="85" spans="1:11" ht="25.5" hidden="1">
      <c r="A85" s="104"/>
      <c r="B85" s="104"/>
      <c r="C85" s="104"/>
      <c r="D85" s="104" t="s">
        <v>197</v>
      </c>
      <c r="E85" s="453" t="s">
        <v>531</v>
      </c>
      <c r="F85" s="451">
        <v>78</v>
      </c>
      <c r="G85" s="104">
        <v>0</v>
      </c>
      <c r="H85" s="104">
        <f t="shared" si="7"/>
        <v>0</v>
      </c>
      <c r="I85" s="104">
        <f t="shared" si="8"/>
        <v>0</v>
      </c>
      <c r="J85" s="104">
        <f t="shared" si="9"/>
        <v>0</v>
      </c>
      <c r="K85" s="104">
        <f t="shared" si="10"/>
        <v>0</v>
      </c>
    </row>
    <row r="86" spans="1:11" ht="27.75" customHeight="1">
      <c r="A86" s="104"/>
      <c r="B86" s="104"/>
      <c r="C86" s="104" t="s">
        <v>199</v>
      </c>
      <c r="D86" s="461" t="s">
        <v>66</v>
      </c>
      <c r="E86" s="461"/>
      <c r="F86" s="451">
        <v>79</v>
      </c>
      <c r="G86" s="104">
        <v>75</v>
      </c>
      <c r="H86" s="104">
        <f t="shared" si="7"/>
        <v>15</v>
      </c>
      <c r="I86" s="104">
        <f t="shared" si="8"/>
        <v>22.5</v>
      </c>
      <c r="J86" s="104">
        <f t="shared" si="9"/>
        <v>23.25</v>
      </c>
      <c r="K86" s="104">
        <f t="shared" si="10"/>
        <v>14.25</v>
      </c>
    </row>
    <row r="87" spans="1:11" s="450" customFormat="1" ht="38.25" customHeight="1">
      <c r="A87" s="447"/>
      <c r="B87" s="447"/>
      <c r="C87" s="470" t="s">
        <v>532</v>
      </c>
      <c r="D87" s="460" t="s">
        <v>533</v>
      </c>
      <c r="E87" s="460"/>
      <c r="F87" s="470">
        <v>80</v>
      </c>
      <c r="G87" s="470">
        <f>G93</f>
        <v>458</v>
      </c>
      <c r="H87" s="470">
        <f>H88+H89+H90+H91+H92+H93</f>
        <v>91.6</v>
      </c>
      <c r="I87" s="470">
        <f>I88+I89+I90+I91+I92+I93</f>
        <v>137.4</v>
      </c>
      <c r="J87" s="470">
        <f>J88+J89+J90+J91+J92+J93</f>
        <v>141.98</v>
      </c>
      <c r="K87" s="470">
        <f>K88+K89+K90+K91+K92+K93</f>
        <v>87.01999999999998</v>
      </c>
    </row>
    <row r="88" spans="1:11" ht="33" customHeight="1" hidden="1">
      <c r="A88" s="104"/>
      <c r="B88" s="104"/>
      <c r="C88" s="468" t="s">
        <v>51</v>
      </c>
      <c r="D88" s="461" t="s">
        <v>201</v>
      </c>
      <c r="E88" s="461"/>
      <c r="F88" s="468">
        <v>81</v>
      </c>
      <c r="G88" s="104">
        <f>H88+I88+J88+K88</f>
        <v>0</v>
      </c>
      <c r="H88" s="104">
        <v>0</v>
      </c>
      <c r="I88" s="104">
        <v>0</v>
      </c>
      <c r="J88" s="104">
        <v>0</v>
      </c>
      <c r="K88" s="104">
        <v>0</v>
      </c>
    </row>
    <row r="89" spans="1:11" ht="30" customHeight="1" hidden="1">
      <c r="A89" s="104"/>
      <c r="B89" s="104"/>
      <c r="C89" s="468" t="s">
        <v>59</v>
      </c>
      <c r="D89" s="461" t="s">
        <v>534</v>
      </c>
      <c r="E89" s="461"/>
      <c r="F89" s="468">
        <v>82</v>
      </c>
      <c r="G89" s="104">
        <f>H89+I89+J89+K89</f>
        <v>0</v>
      </c>
      <c r="H89" s="104">
        <v>0</v>
      </c>
      <c r="I89" s="104">
        <v>0</v>
      </c>
      <c r="J89" s="104">
        <v>0</v>
      </c>
      <c r="K89" s="104">
        <v>0</v>
      </c>
    </row>
    <row r="90" spans="1:11" ht="20.25" customHeight="1" hidden="1">
      <c r="A90" s="104"/>
      <c r="B90" s="104"/>
      <c r="C90" s="468" t="s">
        <v>61</v>
      </c>
      <c r="D90" s="461" t="s">
        <v>203</v>
      </c>
      <c r="E90" s="461"/>
      <c r="F90" s="468">
        <v>83</v>
      </c>
      <c r="G90" s="104">
        <f>H90+I90+J90+K90</f>
        <v>0</v>
      </c>
      <c r="H90" s="104">
        <v>0</v>
      </c>
      <c r="I90" s="104">
        <v>0</v>
      </c>
      <c r="J90" s="104">
        <v>0</v>
      </c>
      <c r="K90" s="104">
        <v>0</v>
      </c>
    </row>
    <row r="91" spans="1:11" ht="20.25" customHeight="1" hidden="1">
      <c r="A91" s="104"/>
      <c r="B91" s="104"/>
      <c r="C91" s="468" t="s">
        <v>63</v>
      </c>
      <c r="D91" s="461" t="s">
        <v>204</v>
      </c>
      <c r="E91" s="461"/>
      <c r="F91" s="468">
        <v>84</v>
      </c>
      <c r="G91" s="104">
        <f>H91+I91+J91+K91</f>
        <v>0</v>
      </c>
      <c r="H91" s="104">
        <v>0</v>
      </c>
      <c r="I91" s="104">
        <v>0</v>
      </c>
      <c r="J91" s="104">
        <v>0</v>
      </c>
      <c r="K91" s="104">
        <v>0</v>
      </c>
    </row>
    <row r="92" spans="1:11" ht="20.25" customHeight="1" hidden="1">
      <c r="A92" s="104"/>
      <c r="B92" s="104"/>
      <c r="C92" s="468" t="s">
        <v>65</v>
      </c>
      <c r="D92" s="461" t="s">
        <v>205</v>
      </c>
      <c r="E92" s="461"/>
      <c r="F92" s="468">
        <v>85</v>
      </c>
      <c r="G92" s="104">
        <f>H92+I92+J92+K92</f>
        <v>0</v>
      </c>
      <c r="H92" s="104">
        <v>0</v>
      </c>
      <c r="I92" s="104">
        <v>0</v>
      </c>
      <c r="J92" s="104">
        <v>0</v>
      </c>
      <c r="K92" s="104">
        <v>0</v>
      </c>
    </row>
    <row r="93" spans="1:11" ht="20.25" customHeight="1">
      <c r="A93" s="104"/>
      <c r="B93" s="104"/>
      <c r="C93" s="468" t="s">
        <v>113</v>
      </c>
      <c r="D93" s="461" t="s">
        <v>535</v>
      </c>
      <c r="E93" s="461"/>
      <c r="F93" s="468">
        <v>86</v>
      </c>
      <c r="G93" s="104">
        <v>458</v>
      </c>
      <c r="H93" s="104">
        <f>G93*20/100</f>
        <v>91.6</v>
      </c>
      <c r="I93" s="104">
        <f>G93*30/100</f>
        <v>137.4</v>
      </c>
      <c r="J93" s="104">
        <f>G93*31/100</f>
        <v>141.98</v>
      </c>
      <c r="K93" s="104">
        <f>G93-J93-I93-H93</f>
        <v>87.01999999999998</v>
      </c>
    </row>
    <row r="94" spans="1:11" s="450" customFormat="1" ht="38.25" customHeight="1">
      <c r="A94" s="447"/>
      <c r="B94" s="447"/>
      <c r="C94" s="470" t="s">
        <v>20</v>
      </c>
      <c r="D94" s="460" t="s">
        <v>536</v>
      </c>
      <c r="E94" s="460"/>
      <c r="F94" s="470">
        <v>87</v>
      </c>
      <c r="G94" s="470">
        <f>G95+G99+G116+G107</f>
        <v>6212</v>
      </c>
      <c r="H94" s="470">
        <f>H95+H99+H107+H111+H116</f>
        <v>1242.4</v>
      </c>
      <c r="I94" s="470">
        <f>I95+I99+I107+I111+I116</f>
        <v>1863.6000000000001</v>
      </c>
      <c r="J94" s="470">
        <f>J95+J99+J107+J111+J116</f>
        <v>1925.7200000000003</v>
      </c>
      <c r="K94" s="470">
        <f>K95+K99+K107+K111+K116</f>
        <v>1180.2800000000002</v>
      </c>
    </row>
    <row r="95" spans="1:11" ht="12.75">
      <c r="A95" s="104"/>
      <c r="B95" s="104"/>
      <c r="C95" s="104"/>
      <c r="D95" s="104" t="s">
        <v>537</v>
      </c>
      <c r="E95" s="453" t="s">
        <v>538</v>
      </c>
      <c r="F95" s="468">
        <v>88</v>
      </c>
      <c r="G95" s="468">
        <f>G96+G98</f>
        <v>4111</v>
      </c>
      <c r="H95" s="468">
        <f>H96+H97+H98</f>
        <v>822.2</v>
      </c>
      <c r="I95" s="468">
        <f>I96+I97+I98</f>
        <v>1233.3000000000002</v>
      </c>
      <c r="J95" s="468">
        <f>J96+J97+J98</f>
        <v>1274.41</v>
      </c>
      <c r="K95" s="468">
        <f>K96+K97+K98</f>
        <v>781.0900000000001</v>
      </c>
    </row>
    <row r="96" spans="1:11" ht="12.75">
      <c r="A96" s="104"/>
      <c r="B96" s="104"/>
      <c r="C96" s="104"/>
      <c r="D96" s="104"/>
      <c r="E96" s="104" t="s">
        <v>209</v>
      </c>
      <c r="F96" s="468">
        <v>89</v>
      </c>
      <c r="G96" s="104">
        <v>4063</v>
      </c>
      <c r="H96" s="104">
        <f>G96*20/100</f>
        <v>812.6</v>
      </c>
      <c r="I96" s="104">
        <f>G96*30/100</f>
        <v>1218.9</v>
      </c>
      <c r="J96" s="104">
        <f>G96*31/100</f>
        <v>1259.53</v>
      </c>
      <c r="K96" s="104">
        <f>G96-J96-I96-H96</f>
        <v>771.9700000000001</v>
      </c>
    </row>
    <row r="97" spans="1:11" ht="25.5" hidden="1">
      <c r="A97" s="104"/>
      <c r="B97" s="104"/>
      <c r="C97" s="104"/>
      <c r="D97" s="104"/>
      <c r="E97" s="453" t="s">
        <v>539</v>
      </c>
      <c r="F97" s="468">
        <v>90</v>
      </c>
      <c r="G97" s="468">
        <v>0</v>
      </c>
      <c r="H97" s="468">
        <v>0</v>
      </c>
      <c r="I97" s="468">
        <v>0</v>
      </c>
      <c r="J97" s="468">
        <v>0</v>
      </c>
      <c r="K97" s="468">
        <v>0</v>
      </c>
    </row>
    <row r="98" spans="1:11" ht="12.75">
      <c r="A98" s="104"/>
      <c r="B98" s="104"/>
      <c r="C98" s="104"/>
      <c r="D98" s="104"/>
      <c r="E98" s="453" t="s">
        <v>540</v>
      </c>
      <c r="F98" s="468">
        <v>91</v>
      </c>
      <c r="G98" s="104">
        <v>48</v>
      </c>
      <c r="H98" s="104">
        <f>G98*20/100</f>
        <v>9.6</v>
      </c>
      <c r="I98" s="104">
        <f>G98*30/100</f>
        <v>14.4</v>
      </c>
      <c r="J98" s="104">
        <f>G98*31/100</f>
        <v>14.88</v>
      </c>
      <c r="K98" s="104">
        <f>G98-J98-I98-H98</f>
        <v>9.12</v>
      </c>
    </row>
    <row r="99" spans="1:11" ht="12.75">
      <c r="A99" s="104"/>
      <c r="B99" s="104"/>
      <c r="C99" s="104"/>
      <c r="D99" s="471" t="s">
        <v>541</v>
      </c>
      <c r="E99" s="453" t="s">
        <v>542</v>
      </c>
      <c r="F99" s="468">
        <v>92</v>
      </c>
      <c r="G99" s="468">
        <f>G100+G103</f>
        <v>321</v>
      </c>
      <c r="H99" s="468">
        <f>H100+H103+H104+H105+H106</f>
        <v>64.2</v>
      </c>
      <c r="I99" s="468">
        <f>I100+I103+I104+I105+I106</f>
        <v>96.3</v>
      </c>
      <c r="J99" s="468">
        <f>J100+J103+J104+J105+J106</f>
        <v>99.51</v>
      </c>
      <c r="K99" s="468">
        <f>K100+K103+K104+K105+K106</f>
        <v>60.989999999999995</v>
      </c>
    </row>
    <row r="100" spans="1:11" ht="51.75" customHeight="1">
      <c r="A100" s="104"/>
      <c r="B100" s="104"/>
      <c r="C100" s="104"/>
      <c r="D100" s="471"/>
      <c r="E100" s="472" t="s">
        <v>213</v>
      </c>
      <c r="F100" s="468">
        <v>93</v>
      </c>
      <c r="G100" s="468">
        <v>20</v>
      </c>
      <c r="H100" s="104">
        <f>G100*20/100</f>
        <v>4</v>
      </c>
      <c r="I100" s="104">
        <f>G100*30/100</f>
        <v>6</v>
      </c>
      <c r="J100" s="104">
        <f>G100*31/100</f>
        <v>6.2</v>
      </c>
      <c r="K100" s="104">
        <f>G100-J100-I100-H100</f>
        <v>3.8000000000000007</v>
      </c>
    </row>
    <row r="101" spans="1:11" ht="33" customHeight="1" hidden="1">
      <c r="A101" s="104"/>
      <c r="B101" s="104"/>
      <c r="C101" s="104"/>
      <c r="D101" s="104"/>
      <c r="E101" s="453" t="s">
        <v>543</v>
      </c>
      <c r="F101" s="468">
        <v>94</v>
      </c>
      <c r="G101" s="468">
        <v>0</v>
      </c>
      <c r="H101" s="468">
        <v>0</v>
      </c>
      <c r="I101" s="468">
        <v>0</v>
      </c>
      <c r="J101" s="468">
        <v>0</v>
      </c>
      <c r="K101" s="468">
        <v>0</v>
      </c>
    </row>
    <row r="102" spans="1:11" ht="25.5" hidden="1">
      <c r="A102" s="104"/>
      <c r="B102" s="104"/>
      <c r="C102" s="104"/>
      <c r="D102" s="104"/>
      <c r="E102" s="453" t="s">
        <v>544</v>
      </c>
      <c r="F102" s="468">
        <v>95</v>
      </c>
      <c r="G102" s="468">
        <v>0</v>
      </c>
      <c r="H102" s="468">
        <v>0</v>
      </c>
      <c r="I102" s="468">
        <v>0</v>
      </c>
      <c r="J102" s="468">
        <v>0</v>
      </c>
      <c r="K102" s="468">
        <v>0</v>
      </c>
    </row>
    <row r="103" spans="1:11" ht="26.25" customHeight="1">
      <c r="A103" s="104"/>
      <c r="B103" s="104"/>
      <c r="C103" s="104"/>
      <c r="D103" s="471"/>
      <c r="E103" s="473" t="s">
        <v>545</v>
      </c>
      <c r="F103" s="468">
        <v>96</v>
      </c>
      <c r="G103" s="468">
        <v>301</v>
      </c>
      <c r="H103" s="104">
        <f>G103*20/100</f>
        <v>60.2</v>
      </c>
      <c r="I103" s="104">
        <f>G103*30/100</f>
        <v>90.3</v>
      </c>
      <c r="J103" s="104">
        <f>G103*31/100</f>
        <v>93.31</v>
      </c>
      <c r="K103" s="104">
        <f>G103-J103-I103-H103</f>
        <v>57.19</v>
      </c>
    </row>
    <row r="104" spans="1:11" ht="12.75" hidden="1">
      <c r="A104" s="104"/>
      <c r="B104" s="104"/>
      <c r="C104" s="104"/>
      <c r="D104" s="104"/>
      <c r="E104" s="473" t="s">
        <v>217</v>
      </c>
      <c r="F104" s="468">
        <v>97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</row>
    <row r="105" spans="1:11" ht="25.5" hidden="1">
      <c r="A105" s="104"/>
      <c r="B105" s="104"/>
      <c r="C105" s="104"/>
      <c r="D105" s="104"/>
      <c r="E105" s="473" t="s">
        <v>546</v>
      </c>
      <c r="F105" s="468">
        <v>98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</row>
    <row r="106" spans="1:11" ht="12.75" hidden="1">
      <c r="A106" s="104"/>
      <c r="B106" s="104"/>
      <c r="C106" s="104"/>
      <c r="D106" s="104"/>
      <c r="E106" s="473" t="s">
        <v>547</v>
      </c>
      <c r="F106" s="468">
        <v>99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</row>
    <row r="107" spans="1:11" ht="25.5">
      <c r="A107" s="104"/>
      <c r="B107" s="104"/>
      <c r="C107" s="104"/>
      <c r="D107" s="471" t="s">
        <v>548</v>
      </c>
      <c r="E107" s="453" t="s">
        <v>549</v>
      </c>
      <c r="F107" s="468">
        <v>100</v>
      </c>
      <c r="G107" s="104">
        <f>G108+G109+G110</f>
        <v>649</v>
      </c>
      <c r="H107" s="468">
        <f>H108+H109+H110</f>
        <v>129.8</v>
      </c>
      <c r="I107" s="468">
        <f>I108+I109+I110</f>
        <v>194.7</v>
      </c>
      <c r="J107" s="468">
        <f>J108+J109+J110</f>
        <v>201.19</v>
      </c>
      <c r="K107" s="468">
        <f>K108+K109+K110</f>
        <v>123.31</v>
      </c>
    </row>
    <row r="108" spans="1:11" ht="25.5">
      <c r="A108" s="104"/>
      <c r="B108" s="104"/>
      <c r="C108" s="104"/>
      <c r="D108" s="471"/>
      <c r="E108" s="453" t="s">
        <v>221</v>
      </c>
      <c r="F108" s="468">
        <v>101</v>
      </c>
      <c r="G108" s="104">
        <v>649</v>
      </c>
      <c r="H108" s="104">
        <f>G108*20/100</f>
        <v>129.8</v>
      </c>
      <c r="I108" s="104">
        <f>G108*30/100</f>
        <v>194.7</v>
      </c>
      <c r="J108" s="104">
        <f>G108*31/100</f>
        <v>201.19</v>
      </c>
      <c r="K108" s="104">
        <f>G108-J108-I108-H108</f>
        <v>123.31</v>
      </c>
    </row>
    <row r="109" spans="1:11" ht="25.5" hidden="1">
      <c r="A109" s="104"/>
      <c r="B109" s="104"/>
      <c r="C109" s="104"/>
      <c r="D109" s="471"/>
      <c r="E109" s="453" t="s">
        <v>222</v>
      </c>
      <c r="F109" s="468">
        <v>102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</row>
    <row r="110" spans="1:11" ht="38.25" hidden="1">
      <c r="A110" s="104"/>
      <c r="B110" s="104"/>
      <c r="C110" s="104"/>
      <c r="D110" s="104"/>
      <c r="E110" s="453" t="s">
        <v>550</v>
      </c>
      <c r="F110" s="468">
        <v>103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</row>
    <row r="111" spans="1:11" ht="25.5" hidden="1">
      <c r="A111" s="104"/>
      <c r="B111" s="104"/>
      <c r="C111" s="104"/>
      <c r="D111" s="104" t="s">
        <v>551</v>
      </c>
      <c r="E111" s="453" t="s">
        <v>552</v>
      </c>
      <c r="F111" s="468">
        <v>104</v>
      </c>
      <c r="G111" s="104">
        <f>G112+G113+G114+G115</f>
        <v>0</v>
      </c>
      <c r="H111" s="104">
        <v>0</v>
      </c>
      <c r="I111" s="104">
        <v>0</v>
      </c>
      <c r="J111" s="104">
        <v>0</v>
      </c>
      <c r="K111" s="104">
        <v>0</v>
      </c>
    </row>
    <row r="112" spans="1:11" ht="12.75" hidden="1">
      <c r="A112" s="104"/>
      <c r="B112" s="104"/>
      <c r="C112" s="104"/>
      <c r="D112" s="104"/>
      <c r="E112" s="453" t="s">
        <v>553</v>
      </c>
      <c r="F112" s="468">
        <v>105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</row>
    <row r="113" spans="1:11" ht="25.5" hidden="1">
      <c r="A113" s="104"/>
      <c r="B113" s="104"/>
      <c r="C113" s="104"/>
      <c r="D113" s="104"/>
      <c r="E113" s="453" t="s">
        <v>554</v>
      </c>
      <c r="F113" s="468">
        <v>106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</row>
    <row r="114" spans="1:11" ht="12.75" hidden="1">
      <c r="A114" s="104"/>
      <c r="B114" s="104"/>
      <c r="C114" s="104"/>
      <c r="D114" s="104"/>
      <c r="E114" s="453" t="s">
        <v>227</v>
      </c>
      <c r="F114" s="468">
        <v>107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</row>
    <row r="115" spans="1:11" ht="12.75" hidden="1">
      <c r="A115" s="104"/>
      <c r="B115" s="104"/>
      <c r="C115" s="104"/>
      <c r="D115" s="104"/>
      <c r="E115" s="453" t="s">
        <v>228</v>
      </c>
      <c r="F115" s="468">
        <v>108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</row>
    <row r="116" spans="1:11" s="102" customFormat="1" ht="51">
      <c r="A116" s="468"/>
      <c r="B116" s="468"/>
      <c r="C116" s="468"/>
      <c r="D116" s="468" t="s">
        <v>555</v>
      </c>
      <c r="E116" s="474" t="s">
        <v>556</v>
      </c>
      <c r="F116" s="468">
        <v>109</v>
      </c>
      <c r="G116" s="468">
        <f>G117+G118+G119+G120</f>
        <v>1131</v>
      </c>
      <c r="H116" s="468">
        <f>H117+H118+H119+H120+H121+H122</f>
        <v>226.2</v>
      </c>
      <c r="I116" s="468">
        <f>I117+I118+I119+I120+I121+I122</f>
        <v>339.3</v>
      </c>
      <c r="J116" s="468">
        <f>J117+J118+J119+J120+J121+J122</f>
        <v>350.61</v>
      </c>
      <c r="K116" s="468">
        <f>K117+K118+K119+K120+K121+K122</f>
        <v>214.89</v>
      </c>
    </row>
    <row r="117" spans="1:11" ht="12.75">
      <c r="A117" s="104"/>
      <c r="B117" s="104"/>
      <c r="C117" s="104"/>
      <c r="D117" s="104"/>
      <c r="E117" s="453" t="s">
        <v>557</v>
      </c>
      <c r="F117" s="468">
        <v>110</v>
      </c>
      <c r="G117" s="468">
        <v>845</v>
      </c>
      <c r="H117" s="104">
        <f>G117*20/100</f>
        <v>169</v>
      </c>
      <c r="I117" s="104">
        <f>G117*30/100</f>
        <v>253.5</v>
      </c>
      <c r="J117" s="104">
        <f>G117*31/100</f>
        <v>261.95</v>
      </c>
      <c r="K117" s="104">
        <f>G117-J117-I117-H117</f>
        <v>160.54999999999995</v>
      </c>
    </row>
    <row r="118" spans="1:11" ht="12.75">
      <c r="A118" s="104"/>
      <c r="B118" s="104"/>
      <c r="C118" s="104"/>
      <c r="D118" s="104"/>
      <c r="E118" s="453" t="s">
        <v>558</v>
      </c>
      <c r="F118" s="468">
        <v>111</v>
      </c>
      <c r="G118" s="104">
        <v>21</v>
      </c>
      <c r="H118" s="104">
        <f>G118*20/100</f>
        <v>4.2</v>
      </c>
      <c r="I118" s="104">
        <f>G118*30/100</f>
        <v>6.3</v>
      </c>
      <c r="J118" s="104">
        <f>G118*31/100</f>
        <v>6.51</v>
      </c>
      <c r="K118" s="104">
        <f>G118-J118-I118-H118</f>
        <v>3.990000000000001</v>
      </c>
    </row>
    <row r="119" spans="1:11" ht="12.75">
      <c r="A119" s="104"/>
      <c r="B119" s="104"/>
      <c r="C119" s="104"/>
      <c r="D119" s="104"/>
      <c r="E119" s="453" t="s">
        <v>559</v>
      </c>
      <c r="F119" s="468">
        <v>112</v>
      </c>
      <c r="G119" s="104">
        <v>211</v>
      </c>
      <c r="H119" s="104">
        <f>G119*20/100</f>
        <v>42.2</v>
      </c>
      <c r="I119" s="104">
        <f>G119*30/100</f>
        <v>63.3</v>
      </c>
      <c r="J119" s="104">
        <f>G119*31/100</f>
        <v>65.41</v>
      </c>
      <c r="K119" s="104">
        <f>G119-J119-I119-H119</f>
        <v>40.09</v>
      </c>
    </row>
    <row r="120" spans="1:11" ht="25.5">
      <c r="A120" s="104"/>
      <c r="B120" s="104"/>
      <c r="C120" s="104"/>
      <c r="D120" s="104"/>
      <c r="E120" s="453" t="s">
        <v>560</v>
      </c>
      <c r="F120" s="468">
        <v>113</v>
      </c>
      <c r="G120" s="104">
        <v>54</v>
      </c>
      <c r="H120" s="104">
        <f>G120*20/100</f>
        <v>10.8</v>
      </c>
      <c r="I120" s="104">
        <f>G120*30/100</f>
        <v>16.2</v>
      </c>
      <c r="J120" s="104">
        <f>G120*31/100</f>
        <v>16.74</v>
      </c>
      <c r="K120" s="104">
        <f>G120-J120-I120-H120</f>
        <v>10.260000000000005</v>
      </c>
    </row>
    <row r="121" spans="1:11" ht="12.75" hidden="1">
      <c r="A121" s="104"/>
      <c r="B121" s="104"/>
      <c r="C121" s="104"/>
      <c r="D121" s="104"/>
      <c r="E121" s="453" t="s">
        <v>561</v>
      </c>
      <c r="F121" s="468">
        <v>114</v>
      </c>
      <c r="G121" s="104">
        <f>H121+I121+J121+K121</f>
        <v>0</v>
      </c>
      <c r="H121" s="104">
        <v>0</v>
      </c>
      <c r="I121" s="104">
        <v>0</v>
      </c>
      <c r="J121" s="104">
        <v>0</v>
      </c>
      <c r="K121" s="104">
        <v>0</v>
      </c>
    </row>
    <row r="122" spans="1:11" ht="12.75" hidden="1">
      <c r="A122" s="104"/>
      <c r="B122" s="104"/>
      <c r="C122" s="104"/>
      <c r="D122" s="104"/>
      <c r="E122" s="453" t="s">
        <v>562</v>
      </c>
      <c r="F122" s="468">
        <v>115</v>
      </c>
      <c r="G122" s="104">
        <f>H122+I122+J122+K122</f>
        <v>0</v>
      </c>
      <c r="H122" s="104">
        <v>0</v>
      </c>
      <c r="I122" s="104">
        <v>0</v>
      </c>
      <c r="J122" s="104">
        <v>0</v>
      </c>
      <c r="K122" s="104">
        <v>0</v>
      </c>
    </row>
    <row r="123" spans="1:11" s="450" customFormat="1" ht="27" customHeight="1">
      <c r="A123" s="447"/>
      <c r="B123" s="447"/>
      <c r="C123" s="447" t="s">
        <v>33</v>
      </c>
      <c r="D123" s="460" t="s">
        <v>563</v>
      </c>
      <c r="E123" s="452"/>
      <c r="F123" s="470">
        <v>116</v>
      </c>
      <c r="G123" s="470">
        <f>G130</f>
        <v>1304</v>
      </c>
      <c r="H123" s="470">
        <f>H124+H127+H128+H129+H130+H131</f>
        <v>260.8</v>
      </c>
      <c r="I123" s="470">
        <f>I124+I127+I128+I129+I130+I131</f>
        <v>391.2</v>
      </c>
      <c r="J123" s="470">
        <f>J124+J127+J128+J129+J130+J131</f>
        <v>404.24</v>
      </c>
      <c r="K123" s="470">
        <f>K124+K127+K128+K129+K130+K131</f>
        <v>247.76</v>
      </c>
    </row>
    <row r="124" spans="1:11" ht="25.5" hidden="1">
      <c r="A124" s="104"/>
      <c r="B124" s="104"/>
      <c r="C124" s="104"/>
      <c r="D124" s="104" t="s">
        <v>51</v>
      </c>
      <c r="E124" s="453" t="s">
        <v>564</v>
      </c>
      <c r="F124" s="468">
        <v>117</v>
      </c>
      <c r="G124" s="104">
        <f aca="true" t="shared" si="11" ref="G124:G129">H124+I124+J124+K124</f>
        <v>0</v>
      </c>
      <c r="H124" s="468">
        <f>H125+H126</f>
        <v>0</v>
      </c>
      <c r="I124" s="468">
        <f>I125+I126</f>
        <v>0</v>
      </c>
      <c r="J124" s="468">
        <f>J125+J126</f>
        <v>0</v>
      </c>
      <c r="K124" s="468">
        <f>K125+K126</f>
        <v>0</v>
      </c>
    </row>
    <row r="125" spans="1:11" ht="12.75" hidden="1">
      <c r="A125" s="104"/>
      <c r="B125" s="104"/>
      <c r="C125" s="104"/>
      <c r="D125" s="104"/>
      <c r="E125" s="104" t="s">
        <v>238</v>
      </c>
      <c r="F125" s="468">
        <v>118</v>
      </c>
      <c r="G125" s="104">
        <f t="shared" si="11"/>
        <v>0</v>
      </c>
      <c r="H125" s="104">
        <v>0</v>
      </c>
      <c r="I125" s="104">
        <v>0</v>
      </c>
      <c r="J125" s="104">
        <v>0</v>
      </c>
      <c r="K125" s="104">
        <v>0</v>
      </c>
    </row>
    <row r="126" spans="1:11" ht="12.75" hidden="1">
      <c r="A126" s="104"/>
      <c r="B126" s="104"/>
      <c r="C126" s="104"/>
      <c r="D126" s="104"/>
      <c r="E126" s="104" t="s">
        <v>239</v>
      </c>
      <c r="F126" s="468">
        <v>119</v>
      </c>
      <c r="G126" s="104">
        <f t="shared" si="11"/>
        <v>0</v>
      </c>
      <c r="H126" s="104">
        <v>0</v>
      </c>
      <c r="I126" s="104">
        <v>0</v>
      </c>
      <c r="J126" s="104">
        <v>0</v>
      </c>
      <c r="K126" s="104">
        <v>0</v>
      </c>
    </row>
    <row r="127" spans="1:11" ht="12.75" hidden="1">
      <c r="A127" s="104"/>
      <c r="B127" s="104"/>
      <c r="C127" s="104"/>
      <c r="D127" s="104" t="s">
        <v>59</v>
      </c>
      <c r="E127" s="104" t="s">
        <v>240</v>
      </c>
      <c r="F127" s="468">
        <v>120</v>
      </c>
      <c r="G127" s="104">
        <f t="shared" si="11"/>
        <v>0</v>
      </c>
      <c r="H127" s="104">
        <v>0</v>
      </c>
      <c r="I127" s="104">
        <v>0</v>
      </c>
      <c r="J127" s="104">
        <v>0</v>
      </c>
      <c r="K127" s="104">
        <v>0</v>
      </c>
    </row>
    <row r="128" spans="1:11" ht="12.75" hidden="1">
      <c r="A128" s="104"/>
      <c r="B128" s="104"/>
      <c r="C128" s="104"/>
      <c r="D128" s="104" t="s">
        <v>61</v>
      </c>
      <c r="E128" s="453" t="s">
        <v>241</v>
      </c>
      <c r="F128" s="468">
        <v>121</v>
      </c>
      <c r="G128" s="104">
        <f t="shared" si="11"/>
        <v>0</v>
      </c>
      <c r="H128" s="104">
        <v>0</v>
      </c>
      <c r="I128" s="104">
        <v>0</v>
      </c>
      <c r="J128" s="104">
        <v>0</v>
      </c>
      <c r="K128" s="104">
        <v>0</v>
      </c>
    </row>
    <row r="129" spans="1:11" ht="12.75" hidden="1">
      <c r="A129" s="104"/>
      <c r="B129" s="104"/>
      <c r="C129" s="104"/>
      <c r="D129" s="104" t="s">
        <v>63</v>
      </c>
      <c r="E129" s="104" t="s">
        <v>66</v>
      </c>
      <c r="F129" s="468">
        <v>122</v>
      </c>
      <c r="G129" s="104">
        <f t="shared" si="11"/>
        <v>0</v>
      </c>
      <c r="H129" s="104">
        <v>0</v>
      </c>
      <c r="I129" s="104">
        <v>0</v>
      </c>
      <c r="J129" s="104">
        <v>0</v>
      </c>
      <c r="K129" s="104">
        <v>0</v>
      </c>
    </row>
    <row r="130" spans="1:11" ht="12.75">
      <c r="A130" s="104"/>
      <c r="B130" s="104"/>
      <c r="C130" s="104"/>
      <c r="D130" s="104" t="s">
        <v>65</v>
      </c>
      <c r="E130" s="453" t="s">
        <v>242</v>
      </c>
      <c r="F130" s="468">
        <v>123</v>
      </c>
      <c r="G130" s="104">
        <v>1304</v>
      </c>
      <c r="H130" s="104">
        <f>G130*20/100</f>
        <v>260.8</v>
      </c>
      <c r="I130" s="104">
        <f>G130*30/100</f>
        <v>391.2</v>
      </c>
      <c r="J130" s="104">
        <f>G130*31/100</f>
        <v>404.24</v>
      </c>
      <c r="K130" s="104">
        <f>G130-J130-I130-H130</f>
        <v>247.76</v>
      </c>
    </row>
    <row r="131" spans="1:11" ht="25.5" hidden="1">
      <c r="A131" s="104"/>
      <c r="B131" s="104"/>
      <c r="C131" s="104"/>
      <c r="D131" s="104" t="s">
        <v>113</v>
      </c>
      <c r="E131" s="453" t="s">
        <v>565</v>
      </c>
      <c r="F131" s="468">
        <v>124</v>
      </c>
      <c r="G131" s="104">
        <f aca="true" t="shared" si="12" ref="G131:G137">H131+I131+J131+K131</f>
        <v>0</v>
      </c>
      <c r="H131" s="468">
        <f>H132+H133</f>
        <v>0</v>
      </c>
      <c r="I131" s="468">
        <f>I132+I133</f>
        <v>0</v>
      </c>
      <c r="J131" s="468">
        <f>J132+J133</f>
        <v>0</v>
      </c>
      <c r="K131" s="468">
        <f>K132+K133</f>
        <v>0</v>
      </c>
    </row>
    <row r="132" spans="1:11" ht="12.75" hidden="1">
      <c r="A132" s="104"/>
      <c r="B132" s="104"/>
      <c r="C132" s="104"/>
      <c r="D132" s="104" t="s">
        <v>115</v>
      </c>
      <c r="E132" s="453" t="s">
        <v>244</v>
      </c>
      <c r="F132" s="451">
        <v>125</v>
      </c>
      <c r="G132" s="104">
        <f t="shared" si="12"/>
        <v>0</v>
      </c>
      <c r="H132" s="104">
        <v>0</v>
      </c>
      <c r="I132" s="104">
        <v>0</v>
      </c>
      <c r="J132" s="104">
        <v>0</v>
      </c>
      <c r="K132" s="104">
        <v>0</v>
      </c>
    </row>
    <row r="133" spans="1:11" ht="25.5" hidden="1">
      <c r="A133" s="104"/>
      <c r="B133" s="104"/>
      <c r="C133" s="104"/>
      <c r="D133" s="104" t="s">
        <v>117</v>
      </c>
      <c r="E133" s="453" t="s">
        <v>245</v>
      </c>
      <c r="F133" s="468">
        <v>126</v>
      </c>
      <c r="G133" s="104">
        <f t="shared" si="12"/>
        <v>0</v>
      </c>
      <c r="H133" s="104">
        <v>0</v>
      </c>
      <c r="I133" s="104">
        <v>0</v>
      </c>
      <c r="J133" s="104">
        <v>0</v>
      </c>
      <c r="K133" s="104">
        <v>0</v>
      </c>
    </row>
    <row r="134" spans="1:11" ht="25.5" hidden="1">
      <c r="A134" s="104"/>
      <c r="B134" s="104"/>
      <c r="C134" s="104"/>
      <c r="D134" s="104" t="s">
        <v>246</v>
      </c>
      <c r="E134" s="453" t="s">
        <v>566</v>
      </c>
      <c r="F134" s="468">
        <v>127</v>
      </c>
      <c r="G134" s="104">
        <f t="shared" si="12"/>
        <v>0</v>
      </c>
      <c r="H134" s="468">
        <f>H135+H136+H137</f>
        <v>0</v>
      </c>
      <c r="I134" s="468">
        <f>I135+I136+I137</f>
        <v>0</v>
      </c>
      <c r="J134" s="468">
        <f>J135+J136+J137</f>
        <v>0</v>
      </c>
      <c r="K134" s="468">
        <f>K135+K136+K137</f>
        <v>0</v>
      </c>
    </row>
    <row r="135" spans="1:11" ht="12.75" hidden="1">
      <c r="A135" s="104"/>
      <c r="B135" s="104"/>
      <c r="C135" s="104"/>
      <c r="D135" s="104"/>
      <c r="E135" s="104" t="s">
        <v>248</v>
      </c>
      <c r="F135" s="468">
        <v>128</v>
      </c>
      <c r="G135" s="104">
        <f t="shared" si="12"/>
        <v>0</v>
      </c>
      <c r="H135" s="104">
        <v>0</v>
      </c>
      <c r="I135" s="104">
        <v>0</v>
      </c>
      <c r="J135" s="104">
        <v>0</v>
      </c>
      <c r="K135" s="104">
        <v>0</v>
      </c>
    </row>
    <row r="136" spans="1:11" ht="25.5" hidden="1">
      <c r="A136" s="104"/>
      <c r="B136" s="104"/>
      <c r="C136" s="104"/>
      <c r="D136" s="104"/>
      <c r="E136" s="453" t="s">
        <v>249</v>
      </c>
      <c r="F136" s="468">
        <v>129</v>
      </c>
      <c r="G136" s="104">
        <f t="shared" si="12"/>
        <v>0</v>
      </c>
      <c r="H136" s="104">
        <v>0</v>
      </c>
      <c r="I136" s="104">
        <v>0</v>
      </c>
      <c r="J136" s="104">
        <v>0</v>
      </c>
      <c r="K136" s="104">
        <v>0</v>
      </c>
    </row>
    <row r="137" spans="1:11" ht="12.75" hidden="1">
      <c r="A137" s="104"/>
      <c r="B137" s="104"/>
      <c r="C137" s="104"/>
      <c r="D137" s="104"/>
      <c r="E137" s="453" t="s">
        <v>250</v>
      </c>
      <c r="F137" s="468">
        <v>130</v>
      </c>
      <c r="G137" s="104">
        <f t="shared" si="12"/>
        <v>0</v>
      </c>
      <c r="H137" s="104">
        <v>0</v>
      </c>
      <c r="I137" s="104">
        <v>0</v>
      </c>
      <c r="J137" s="104">
        <v>0</v>
      </c>
      <c r="K137" s="104">
        <v>0</v>
      </c>
    </row>
    <row r="138" spans="1:11" s="446" customFormat="1" ht="26.25" customHeight="1">
      <c r="A138" s="442"/>
      <c r="B138" s="442">
        <v>2</v>
      </c>
      <c r="C138" s="442"/>
      <c r="D138" s="459" t="s">
        <v>567</v>
      </c>
      <c r="E138" s="459"/>
      <c r="F138" s="443">
        <v>131</v>
      </c>
      <c r="G138" s="443">
        <f>G145</f>
        <v>65</v>
      </c>
      <c r="H138" s="443">
        <f>H139+H142+H145</f>
        <v>13</v>
      </c>
      <c r="I138" s="443">
        <f>I139+I142+I145</f>
        <v>19.5</v>
      </c>
      <c r="J138" s="443">
        <f>J139+J142+J145</f>
        <v>20.15</v>
      </c>
      <c r="K138" s="443">
        <f>K139+K142+K145</f>
        <v>12.350000000000001</v>
      </c>
    </row>
    <row r="139" spans="1:11" ht="28.5" customHeight="1" hidden="1">
      <c r="A139" s="104"/>
      <c r="B139" s="104"/>
      <c r="C139" s="104" t="s">
        <v>51</v>
      </c>
      <c r="D139" s="461" t="s">
        <v>568</v>
      </c>
      <c r="E139" s="475"/>
      <c r="F139" s="468">
        <v>132</v>
      </c>
      <c r="G139" s="104">
        <f aca="true" t="shared" si="13" ref="G139:G144">H139+I139+J139+K139</f>
        <v>0</v>
      </c>
      <c r="H139" s="468">
        <f>H140+H141</f>
        <v>0</v>
      </c>
      <c r="I139" s="468">
        <f>I140+I141</f>
        <v>0</v>
      </c>
      <c r="J139" s="468">
        <f>J140+J141</f>
        <v>0</v>
      </c>
      <c r="K139" s="468">
        <f>K140+K141</f>
        <v>0</v>
      </c>
    </row>
    <row r="140" spans="1:11" ht="12.75" hidden="1">
      <c r="A140" s="104"/>
      <c r="B140" s="104"/>
      <c r="C140" s="104"/>
      <c r="D140" s="104" t="s">
        <v>95</v>
      </c>
      <c r="E140" s="104" t="s">
        <v>569</v>
      </c>
      <c r="F140" s="468">
        <v>133</v>
      </c>
      <c r="G140" s="104">
        <f t="shared" si="13"/>
        <v>0</v>
      </c>
      <c r="H140" s="104">
        <v>0</v>
      </c>
      <c r="I140" s="104">
        <v>0</v>
      </c>
      <c r="J140" s="104">
        <v>0</v>
      </c>
      <c r="K140" s="104">
        <v>0</v>
      </c>
    </row>
    <row r="141" spans="1:11" ht="12.75" hidden="1">
      <c r="A141" s="104"/>
      <c r="B141" s="104"/>
      <c r="C141" s="104"/>
      <c r="D141" s="104" t="s">
        <v>97</v>
      </c>
      <c r="E141" s="453" t="s">
        <v>254</v>
      </c>
      <c r="F141" s="468">
        <v>134</v>
      </c>
      <c r="G141" s="104">
        <f t="shared" si="13"/>
        <v>0</v>
      </c>
      <c r="H141" s="104">
        <v>0</v>
      </c>
      <c r="I141" s="104">
        <v>0</v>
      </c>
      <c r="J141" s="104">
        <v>0</v>
      </c>
      <c r="K141" s="104">
        <v>0</v>
      </c>
    </row>
    <row r="142" spans="1:11" ht="28.5" customHeight="1" hidden="1">
      <c r="A142" s="104"/>
      <c r="B142" s="104"/>
      <c r="C142" s="104" t="s">
        <v>59</v>
      </c>
      <c r="D142" s="461" t="s">
        <v>570</v>
      </c>
      <c r="E142" s="475"/>
      <c r="F142" s="468">
        <v>135</v>
      </c>
      <c r="G142" s="104">
        <f t="shared" si="13"/>
        <v>0</v>
      </c>
      <c r="H142" s="468">
        <f>H143+H144</f>
        <v>0</v>
      </c>
      <c r="I142" s="468">
        <f>I143+I144</f>
        <v>0</v>
      </c>
      <c r="J142" s="468">
        <f>J143+J144</f>
        <v>0</v>
      </c>
      <c r="K142" s="468">
        <f>K143+K144</f>
        <v>0</v>
      </c>
    </row>
    <row r="143" spans="1:11" ht="12.75" hidden="1">
      <c r="A143" s="104"/>
      <c r="B143" s="104"/>
      <c r="C143" s="104"/>
      <c r="D143" s="104" t="s">
        <v>138</v>
      </c>
      <c r="E143" s="104" t="s">
        <v>569</v>
      </c>
      <c r="F143" s="468">
        <v>136</v>
      </c>
      <c r="G143" s="104">
        <f t="shared" si="13"/>
        <v>0</v>
      </c>
      <c r="H143" s="104">
        <v>0</v>
      </c>
      <c r="I143" s="104">
        <v>0</v>
      </c>
      <c r="J143" s="104">
        <v>0</v>
      </c>
      <c r="K143" s="104">
        <v>0</v>
      </c>
    </row>
    <row r="144" spans="1:11" ht="12.75" hidden="1">
      <c r="A144" s="104"/>
      <c r="B144" s="104"/>
      <c r="C144" s="104"/>
      <c r="D144" s="104" t="s">
        <v>140</v>
      </c>
      <c r="E144" s="453" t="s">
        <v>254</v>
      </c>
      <c r="F144" s="468">
        <v>137</v>
      </c>
      <c r="G144" s="104">
        <f t="shared" si="13"/>
        <v>0</v>
      </c>
      <c r="H144" s="104">
        <v>0</v>
      </c>
      <c r="I144" s="104">
        <v>0</v>
      </c>
      <c r="J144" s="104">
        <v>0</v>
      </c>
      <c r="K144" s="104">
        <v>0</v>
      </c>
    </row>
    <row r="145" spans="1:11" s="102" customFormat="1" ht="28.5" customHeight="1">
      <c r="A145" s="468"/>
      <c r="B145" s="468"/>
      <c r="C145" s="468" t="s">
        <v>61</v>
      </c>
      <c r="D145" s="454" t="s">
        <v>257</v>
      </c>
      <c r="E145" s="476"/>
      <c r="F145" s="468">
        <v>138</v>
      </c>
      <c r="G145" s="468">
        <v>65</v>
      </c>
      <c r="H145" s="468">
        <f>G145*20/100</f>
        <v>13</v>
      </c>
      <c r="I145" s="468">
        <f>G145*30/100</f>
        <v>19.5</v>
      </c>
      <c r="J145" s="468">
        <f>G145*31/100</f>
        <v>20.15</v>
      </c>
      <c r="K145" s="468">
        <f>G145-J145-I145-H145</f>
        <v>12.350000000000001</v>
      </c>
    </row>
    <row r="146" spans="1:11" ht="26.25" customHeight="1" hidden="1">
      <c r="A146" s="104"/>
      <c r="B146" s="104">
        <v>3</v>
      </c>
      <c r="C146" s="104"/>
      <c r="D146" s="461" t="s">
        <v>36</v>
      </c>
      <c r="E146" s="461"/>
      <c r="F146" s="468">
        <v>139</v>
      </c>
      <c r="G146" s="104">
        <f>H146+I146+J146+K146</f>
        <v>0</v>
      </c>
      <c r="H146" s="104">
        <v>0</v>
      </c>
      <c r="I146" s="104">
        <v>0</v>
      </c>
      <c r="J146" s="104">
        <v>0</v>
      </c>
      <c r="K146" s="104">
        <v>0</v>
      </c>
    </row>
    <row r="147" spans="1:11" s="481" customFormat="1" ht="26.25" customHeight="1">
      <c r="A147" s="477" t="s">
        <v>37</v>
      </c>
      <c r="B147" s="478"/>
      <c r="C147" s="478"/>
      <c r="D147" s="479" t="s">
        <v>571</v>
      </c>
      <c r="E147" s="479"/>
      <c r="F147" s="480">
        <v>140</v>
      </c>
      <c r="G147" s="477">
        <f>G8-G37</f>
        <v>50</v>
      </c>
      <c r="H147" s="465">
        <f>G147*20/100</f>
        <v>10</v>
      </c>
      <c r="I147" s="465">
        <f>G147*30/100</f>
        <v>15</v>
      </c>
      <c r="J147" s="465">
        <f>G147*31/100</f>
        <v>15.5</v>
      </c>
      <c r="K147" s="465">
        <f>G147-J147-I147-H147</f>
        <v>9.5</v>
      </c>
    </row>
    <row r="148" spans="1:11" ht="12.75" hidden="1">
      <c r="A148" s="104"/>
      <c r="B148" s="104"/>
      <c r="C148" s="104"/>
      <c r="D148" s="104"/>
      <c r="E148" s="104" t="s">
        <v>572</v>
      </c>
      <c r="F148" s="468">
        <v>141</v>
      </c>
      <c r="G148" s="104">
        <f>H148+I148+J148+K148</f>
        <v>0</v>
      </c>
      <c r="H148" s="104">
        <v>0</v>
      </c>
      <c r="I148" s="104">
        <v>0</v>
      </c>
      <c r="J148" s="104">
        <v>0</v>
      </c>
      <c r="K148" s="104">
        <v>0</v>
      </c>
    </row>
    <row r="149" spans="1:11" s="146" customFormat="1" ht="18.75" customHeight="1">
      <c r="A149" s="145" t="s">
        <v>39</v>
      </c>
      <c r="B149" s="482"/>
      <c r="C149" s="482"/>
      <c r="D149" s="483" t="s">
        <v>40</v>
      </c>
      <c r="E149" s="483"/>
      <c r="F149" s="480">
        <v>142</v>
      </c>
      <c r="G149" s="482">
        <v>8</v>
      </c>
      <c r="H149" s="104">
        <f>G149*20/100</f>
        <v>1.6</v>
      </c>
      <c r="I149" s="104">
        <f>G149*30/100</f>
        <v>2.4</v>
      </c>
      <c r="J149" s="104">
        <f>G149*31/100</f>
        <v>2.48</v>
      </c>
      <c r="K149" s="104">
        <f>G149-J149-I149-H149</f>
        <v>1.5199999999999996</v>
      </c>
    </row>
  </sheetData>
  <mergeCells count="60">
    <mergeCell ref="D138:E138"/>
    <mergeCell ref="D139:E139"/>
    <mergeCell ref="D142:E142"/>
    <mergeCell ref="D145:E145"/>
    <mergeCell ref="D88:E88"/>
    <mergeCell ref="D89:E89"/>
    <mergeCell ref="D90:E90"/>
    <mergeCell ref="D91:E91"/>
    <mergeCell ref="D76:E76"/>
    <mergeCell ref="D77:E77"/>
    <mergeCell ref="D86:E86"/>
    <mergeCell ref="D87:E87"/>
    <mergeCell ref="D65:E65"/>
    <mergeCell ref="D70:E70"/>
    <mergeCell ref="D71:E71"/>
    <mergeCell ref="D72:E72"/>
    <mergeCell ref="D30:E30"/>
    <mergeCell ref="D31:E31"/>
    <mergeCell ref="D32:E32"/>
    <mergeCell ref="D33:E33"/>
    <mergeCell ref="D10:E10"/>
    <mergeCell ref="D15:E15"/>
    <mergeCell ref="D16:E16"/>
    <mergeCell ref="D20:E20"/>
    <mergeCell ref="B6:E6"/>
    <mergeCell ref="B7:E7"/>
    <mergeCell ref="B8:E8"/>
    <mergeCell ref="D9:E9"/>
    <mergeCell ref="D149:E149"/>
    <mergeCell ref="D146:E146"/>
    <mergeCell ref="D147:E147"/>
    <mergeCell ref="D123:E123"/>
    <mergeCell ref="D94:E94"/>
    <mergeCell ref="D92:E92"/>
    <mergeCell ref="D93:E93"/>
    <mergeCell ref="D73:E73"/>
    <mergeCell ref="D74:E74"/>
    <mergeCell ref="D75:E75"/>
    <mergeCell ref="D58:E58"/>
    <mergeCell ref="D55:E55"/>
    <mergeCell ref="D56:E56"/>
    <mergeCell ref="D53:E53"/>
    <mergeCell ref="D54:E54"/>
    <mergeCell ref="D49:E49"/>
    <mergeCell ref="D50:E50"/>
    <mergeCell ref="D46:E46"/>
    <mergeCell ref="D47:E47"/>
    <mergeCell ref="D48:E48"/>
    <mergeCell ref="D45:E45"/>
    <mergeCell ref="D40:E40"/>
    <mergeCell ref="D41:E41"/>
    <mergeCell ref="D42:E42"/>
    <mergeCell ref="B37:E37"/>
    <mergeCell ref="C38:E38"/>
    <mergeCell ref="C39:E39"/>
    <mergeCell ref="D34:E34"/>
    <mergeCell ref="D35:E35"/>
    <mergeCell ref="C36:E36"/>
    <mergeCell ref="D21:E21"/>
    <mergeCell ref="D22:E22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A1" sqref="A1:IV1"/>
    </sheetView>
  </sheetViews>
  <sheetFormatPr defaultColWidth="9.140625" defaultRowHeight="12.75"/>
  <cols>
    <col min="1" max="1" width="4.8515625" style="0" customWidth="1"/>
    <col min="2" max="2" width="5.28125" style="105" customWidth="1"/>
    <col min="4" max="4" width="46.140625" style="0" customWidth="1"/>
    <col min="5" max="5" width="11.57421875" style="156" customWidth="1"/>
    <col min="6" max="6" width="9.140625" style="156" customWidth="1"/>
    <col min="7" max="7" width="11.140625" style="156" customWidth="1"/>
    <col min="8" max="8" width="8.421875" style="156" bestFit="1" customWidth="1"/>
    <col min="9" max="9" width="9.140625" style="156" customWidth="1"/>
    <col min="10" max="10" width="9.140625" style="156" bestFit="1" customWidth="1"/>
  </cols>
  <sheetData>
    <row r="1" ht="12.75">
      <c r="E1" s="174"/>
    </row>
    <row r="2" spans="1:8" ht="12.75">
      <c r="A2" s="50"/>
      <c r="E2" s="174"/>
      <c r="G2" s="157" t="s">
        <v>286</v>
      </c>
      <c r="H2" s="158"/>
    </row>
    <row r="3" ht="12.75">
      <c r="E3" s="174"/>
    </row>
    <row r="4" spans="1:10" ht="12.75">
      <c r="A4" s="340" t="s">
        <v>287</v>
      </c>
      <c r="B4" s="340"/>
      <c r="C4" s="340"/>
      <c r="D4" s="340"/>
      <c r="E4" s="340"/>
      <c r="F4" s="340"/>
      <c r="G4" s="340"/>
      <c r="H4" s="340"/>
      <c r="I4" s="340"/>
      <c r="J4" s="340"/>
    </row>
    <row r="5" spans="5:10" ht="12.75">
      <c r="E5" s="174"/>
      <c r="J5" s="159" t="s">
        <v>86</v>
      </c>
    </row>
    <row r="6" spans="1:10" ht="30.75" customHeight="1">
      <c r="A6" s="341"/>
      <c r="B6" s="343"/>
      <c r="C6" s="345" t="s">
        <v>279</v>
      </c>
      <c r="D6" s="345"/>
      <c r="E6" s="346" t="s">
        <v>288</v>
      </c>
      <c r="F6" s="348" t="s">
        <v>449</v>
      </c>
      <c r="G6" s="348"/>
      <c r="H6" s="348" t="s">
        <v>289</v>
      </c>
      <c r="I6" s="348"/>
      <c r="J6" s="349"/>
    </row>
    <row r="7" spans="1:10" s="108" customFormat="1" ht="24.75" customHeight="1">
      <c r="A7" s="342"/>
      <c r="B7" s="344"/>
      <c r="C7" s="328"/>
      <c r="D7" s="328"/>
      <c r="E7" s="347"/>
      <c r="F7" s="160" t="s">
        <v>88</v>
      </c>
      <c r="G7" s="160" t="s">
        <v>290</v>
      </c>
      <c r="H7" s="161" t="s">
        <v>450</v>
      </c>
      <c r="I7" s="162" t="s">
        <v>451</v>
      </c>
      <c r="J7" s="162" t="s">
        <v>452</v>
      </c>
    </row>
    <row r="8" spans="1:10" s="174" customFormat="1" ht="12.75">
      <c r="A8" s="175">
        <v>0</v>
      </c>
      <c r="B8" s="175">
        <v>1</v>
      </c>
      <c r="C8" s="410">
        <v>2</v>
      </c>
      <c r="D8" s="410"/>
      <c r="E8" s="175">
        <v>3</v>
      </c>
      <c r="F8" s="175">
        <v>4</v>
      </c>
      <c r="G8" s="175">
        <v>5</v>
      </c>
      <c r="H8" s="175">
        <v>6</v>
      </c>
      <c r="I8" s="175">
        <v>7</v>
      </c>
      <c r="J8" s="175">
        <v>8</v>
      </c>
    </row>
    <row r="9" spans="1:10" s="149" customFormat="1" ht="28.5" customHeight="1">
      <c r="A9" s="147" t="s">
        <v>7</v>
      </c>
      <c r="B9" s="148"/>
      <c r="C9" s="339" t="s">
        <v>68</v>
      </c>
      <c r="D9" s="339"/>
      <c r="E9" s="176"/>
      <c r="F9" s="145">
        <f>SUM(F10:F19)</f>
        <v>473</v>
      </c>
      <c r="G9" s="145">
        <f>G10+G13+G14+G17</f>
        <v>471.7</v>
      </c>
      <c r="H9" s="145">
        <f>H10+H13+H14+H17</f>
        <v>9625</v>
      </c>
      <c r="I9" s="145">
        <f>I10+I13+I14+I17</f>
        <v>12010</v>
      </c>
      <c r="J9" s="145">
        <f>J10+J13+J14+J17</f>
        <v>13490</v>
      </c>
    </row>
    <row r="10" spans="1:10" ht="12.75">
      <c r="A10" s="112"/>
      <c r="B10" s="113">
        <v>1</v>
      </c>
      <c r="C10" s="328" t="s">
        <v>291</v>
      </c>
      <c r="D10" s="328"/>
      <c r="E10" s="177"/>
      <c r="F10" s="104">
        <v>0</v>
      </c>
      <c r="G10" s="104">
        <v>0</v>
      </c>
      <c r="H10" s="104">
        <v>251</v>
      </c>
      <c r="I10" s="104">
        <v>560</v>
      </c>
      <c r="J10" s="104">
        <v>1890</v>
      </c>
    </row>
    <row r="11" spans="1:10" ht="12.75">
      <c r="A11" s="112"/>
      <c r="B11" s="113"/>
      <c r="C11" s="328" t="s">
        <v>292</v>
      </c>
      <c r="D11" s="328"/>
      <c r="E11" s="177"/>
      <c r="F11" s="104"/>
      <c r="G11" s="104"/>
      <c r="H11" s="104"/>
      <c r="I11" s="104"/>
      <c r="J11" s="104"/>
    </row>
    <row r="12" spans="1:10" ht="12.75">
      <c r="A12" s="112"/>
      <c r="B12" s="113"/>
      <c r="C12" s="328" t="s">
        <v>293</v>
      </c>
      <c r="D12" s="328"/>
      <c r="E12" s="177"/>
      <c r="F12" s="104"/>
      <c r="G12" s="104"/>
      <c r="H12" s="104"/>
      <c r="I12" s="104"/>
      <c r="J12" s="104"/>
    </row>
    <row r="13" spans="1:10" ht="12.75">
      <c r="A13" s="112"/>
      <c r="B13" s="113">
        <v>2</v>
      </c>
      <c r="C13" s="328" t="s">
        <v>69</v>
      </c>
      <c r="D13" s="328"/>
      <c r="E13" s="177"/>
      <c r="F13" s="104">
        <v>473</v>
      </c>
      <c r="G13" s="104">
        <v>471.7</v>
      </c>
      <c r="H13" s="104">
        <v>957</v>
      </c>
      <c r="I13" s="104">
        <v>2000</v>
      </c>
      <c r="J13" s="104">
        <v>3000</v>
      </c>
    </row>
    <row r="14" spans="1:10" ht="12.75">
      <c r="A14" s="112"/>
      <c r="B14" s="113">
        <v>3</v>
      </c>
      <c r="C14" s="328" t="s">
        <v>294</v>
      </c>
      <c r="D14" s="328"/>
      <c r="E14" s="177"/>
      <c r="F14" s="104">
        <v>0</v>
      </c>
      <c r="G14" s="104">
        <v>0</v>
      </c>
      <c r="H14" s="104">
        <v>7165</v>
      </c>
      <c r="I14" s="104">
        <v>7250</v>
      </c>
      <c r="J14" s="104">
        <v>5000</v>
      </c>
    </row>
    <row r="15" spans="1:10" ht="12.75">
      <c r="A15" s="112"/>
      <c r="B15" s="113"/>
      <c r="C15" s="328" t="s">
        <v>295</v>
      </c>
      <c r="D15" s="328"/>
      <c r="E15" s="177"/>
      <c r="F15" s="104"/>
      <c r="G15" s="104"/>
      <c r="H15" s="104"/>
      <c r="I15" s="104"/>
      <c r="J15" s="104"/>
    </row>
    <row r="16" spans="1:10" ht="12.75">
      <c r="A16" s="112"/>
      <c r="B16" s="113"/>
      <c r="C16" s="328" t="s">
        <v>296</v>
      </c>
      <c r="D16" s="328"/>
      <c r="E16" s="177"/>
      <c r="F16" s="104"/>
      <c r="G16" s="104"/>
      <c r="H16" s="104"/>
      <c r="I16" s="104"/>
      <c r="J16" s="104"/>
    </row>
    <row r="17" spans="1:10" ht="12.75">
      <c r="A17" s="112"/>
      <c r="B17" s="113">
        <v>4</v>
      </c>
      <c r="C17" s="328" t="s">
        <v>297</v>
      </c>
      <c r="D17" s="328"/>
      <c r="E17" s="177"/>
      <c r="F17" s="104">
        <v>0</v>
      </c>
      <c r="G17" s="104">
        <v>0</v>
      </c>
      <c r="H17" s="104">
        <v>1252</v>
      </c>
      <c r="I17" s="104">
        <v>2200</v>
      </c>
      <c r="J17" s="104">
        <v>3600</v>
      </c>
    </row>
    <row r="18" spans="1:10" ht="12.75" customHeight="1">
      <c r="A18" s="112"/>
      <c r="B18" s="113"/>
      <c r="C18" s="317" t="s">
        <v>391</v>
      </c>
      <c r="D18" s="318"/>
      <c r="E18" s="177"/>
      <c r="F18" s="104"/>
      <c r="G18" s="104"/>
      <c r="H18" s="104">
        <v>1252</v>
      </c>
      <c r="I18" s="104">
        <v>2200</v>
      </c>
      <c r="J18" s="104">
        <v>3600</v>
      </c>
    </row>
    <row r="19" spans="1:10" ht="12.75" customHeight="1">
      <c r="A19" s="112"/>
      <c r="B19" s="113"/>
      <c r="C19" s="317" t="s">
        <v>298</v>
      </c>
      <c r="D19" s="318"/>
      <c r="E19" s="177"/>
      <c r="F19" s="104"/>
      <c r="G19" s="104"/>
      <c r="H19" s="104"/>
      <c r="I19" s="104"/>
      <c r="J19" s="104"/>
    </row>
    <row r="20" spans="1:10" s="149" customFormat="1" ht="27" customHeight="1">
      <c r="A20" s="150" t="s">
        <v>13</v>
      </c>
      <c r="B20" s="148"/>
      <c r="C20" s="333" t="s">
        <v>299</v>
      </c>
      <c r="D20" s="334"/>
      <c r="E20" s="176"/>
      <c r="F20" s="145">
        <f>F21+F24+F48+F68</f>
        <v>473</v>
      </c>
      <c r="G20" s="145">
        <f>G21+G24+G48+G68</f>
        <v>471.7</v>
      </c>
      <c r="H20" s="145">
        <f>H21+H24</f>
        <v>9625</v>
      </c>
      <c r="I20" s="145">
        <f>I21+I24</f>
        <v>12010</v>
      </c>
      <c r="J20" s="145">
        <f>J21+J24</f>
        <v>13490</v>
      </c>
    </row>
    <row r="21" spans="1:10" ht="12.75" customHeight="1">
      <c r="A21" s="112"/>
      <c r="B21" s="113"/>
      <c r="C21" s="335" t="s">
        <v>300</v>
      </c>
      <c r="D21" s="336"/>
      <c r="E21" s="177"/>
      <c r="F21" s="104">
        <v>0</v>
      </c>
      <c r="G21" s="104">
        <v>0</v>
      </c>
      <c r="H21" s="104">
        <v>83</v>
      </c>
      <c r="I21" s="104">
        <v>0</v>
      </c>
      <c r="J21" s="104">
        <v>0</v>
      </c>
    </row>
    <row r="22" spans="1:10" ht="25.5" customHeight="1">
      <c r="A22" s="112"/>
      <c r="B22" s="113"/>
      <c r="C22" s="337" t="s">
        <v>301</v>
      </c>
      <c r="D22" s="337"/>
      <c r="E22" s="177"/>
      <c r="F22" s="104"/>
      <c r="G22" s="104"/>
      <c r="H22" s="104"/>
      <c r="I22" s="104"/>
      <c r="J22" s="104"/>
    </row>
    <row r="23" spans="1:10" ht="12.75" customHeight="1">
      <c r="A23" s="112"/>
      <c r="B23" s="113"/>
      <c r="C23" s="317" t="s">
        <v>392</v>
      </c>
      <c r="D23" s="318"/>
      <c r="E23" s="177">
        <v>2013</v>
      </c>
      <c r="F23" s="104"/>
      <c r="G23" s="104"/>
      <c r="H23" s="104">
        <v>83</v>
      </c>
      <c r="I23" s="104"/>
      <c r="J23" s="104"/>
    </row>
    <row r="24" spans="1:10" ht="12.75">
      <c r="A24" s="112"/>
      <c r="B24" s="113">
        <v>2</v>
      </c>
      <c r="C24" s="328" t="s">
        <v>306</v>
      </c>
      <c r="D24" s="328"/>
      <c r="E24" s="177"/>
      <c r="F24" s="104">
        <v>0</v>
      </c>
      <c r="G24" s="104">
        <v>0</v>
      </c>
      <c r="H24" s="104">
        <f>H25+H48+H68</f>
        <v>9542</v>
      </c>
      <c r="I24" s="104">
        <f>I25+I48+I68</f>
        <v>12010</v>
      </c>
      <c r="J24" s="104">
        <f>J25+J48+J68</f>
        <v>13490</v>
      </c>
    </row>
    <row r="25" spans="1:10" s="107" customFormat="1" ht="28.5" customHeight="1">
      <c r="A25" s="111"/>
      <c r="B25" s="110"/>
      <c r="C25" s="321" t="s">
        <v>307</v>
      </c>
      <c r="D25" s="321"/>
      <c r="E25" s="179"/>
      <c r="F25" s="181"/>
      <c r="G25" s="181"/>
      <c r="H25" s="181">
        <f>SUM(H26:H37)</f>
        <v>1503</v>
      </c>
      <c r="I25" s="181">
        <f>SUM(I38:I43)</f>
        <v>3786</v>
      </c>
      <c r="J25" s="181">
        <f>SUM(J44:J47)</f>
        <v>5490</v>
      </c>
    </row>
    <row r="26" spans="1:10" ht="23.25" customHeight="1">
      <c r="A26" s="112"/>
      <c r="B26" s="113"/>
      <c r="C26" s="317" t="s">
        <v>393</v>
      </c>
      <c r="D26" s="318"/>
      <c r="E26" s="177">
        <v>2013</v>
      </c>
      <c r="F26" s="104"/>
      <c r="G26" s="104"/>
      <c r="H26" s="104">
        <v>900</v>
      </c>
      <c r="I26" s="104"/>
      <c r="J26" s="104"/>
    </row>
    <row r="27" spans="1:10" ht="12.75" customHeight="1">
      <c r="A27" s="112"/>
      <c r="B27" s="113"/>
      <c r="C27" s="317" t="s">
        <v>394</v>
      </c>
      <c r="D27" s="318"/>
      <c r="E27" s="177">
        <v>2013</v>
      </c>
      <c r="F27" s="104"/>
      <c r="G27" s="104"/>
      <c r="H27" s="104">
        <v>300</v>
      </c>
      <c r="I27" s="104"/>
      <c r="J27" s="104"/>
    </row>
    <row r="28" spans="1:10" ht="12.75" customHeight="1">
      <c r="A28" s="112"/>
      <c r="B28" s="113"/>
      <c r="C28" s="317" t="s">
        <v>395</v>
      </c>
      <c r="D28" s="318"/>
      <c r="E28" s="177">
        <v>2013</v>
      </c>
      <c r="F28" s="104"/>
      <c r="G28" s="104"/>
      <c r="H28" s="104">
        <v>19</v>
      </c>
      <c r="I28" s="104"/>
      <c r="J28" s="104"/>
    </row>
    <row r="29" spans="1:10" ht="12.75" customHeight="1">
      <c r="A29" s="112"/>
      <c r="B29" s="113"/>
      <c r="C29" s="317" t="s">
        <v>396</v>
      </c>
      <c r="D29" s="318"/>
      <c r="E29" s="177">
        <v>2013</v>
      </c>
      <c r="F29" s="104"/>
      <c r="G29" s="104"/>
      <c r="H29" s="104">
        <v>8</v>
      </c>
      <c r="I29" s="104"/>
      <c r="J29" s="104"/>
    </row>
    <row r="30" spans="1:10" ht="12.75" customHeight="1">
      <c r="A30" s="112"/>
      <c r="B30" s="113"/>
      <c r="C30" s="317" t="s">
        <v>397</v>
      </c>
      <c r="D30" s="318"/>
      <c r="E30" s="177">
        <v>2013</v>
      </c>
      <c r="F30" s="104"/>
      <c r="G30" s="104"/>
      <c r="H30" s="104">
        <v>3</v>
      </c>
      <c r="I30" s="104"/>
      <c r="J30" s="104"/>
    </row>
    <row r="31" spans="1:10" ht="12.75" customHeight="1">
      <c r="A31" s="112"/>
      <c r="B31" s="113"/>
      <c r="C31" s="317" t="s">
        <v>398</v>
      </c>
      <c r="D31" s="318"/>
      <c r="E31" s="177">
        <v>2013</v>
      </c>
      <c r="F31" s="104"/>
      <c r="G31" s="104"/>
      <c r="H31" s="104">
        <v>14</v>
      </c>
      <c r="I31" s="104"/>
      <c r="J31" s="104"/>
    </row>
    <row r="32" spans="1:10" ht="12.75" customHeight="1">
      <c r="A32" s="112"/>
      <c r="B32" s="113"/>
      <c r="C32" s="317" t="s">
        <v>399</v>
      </c>
      <c r="D32" s="318"/>
      <c r="E32" s="177">
        <v>2013</v>
      </c>
      <c r="F32" s="104"/>
      <c r="G32" s="104"/>
      <c r="H32" s="104">
        <v>5</v>
      </c>
      <c r="I32" s="104"/>
      <c r="J32" s="104"/>
    </row>
    <row r="33" spans="1:10" ht="12.75" customHeight="1">
      <c r="A33" s="112"/>
      <c r="B33" s="113"/>
      <c r="C33" s="317" t="s">
        <v>400</v>
      </c>
      <c r="D33" s="318"/>
      <c r="E33" s="177">
        <v>2013</v>
      </c>
      <c r="F33" s="104"/>
      <c r="G33" s="104"/>
      <c r="H33" s="104">
        <v>33</v>
      </c>
      <c r="I33" s="104"/>
      <c r="J33" s="104"/>
    </row>
    <row r="34" spans="1:10" ht="24.75" customHeight="1">
      <c r="A34" s="112"/>
      <c r="B34" s="113"/>
      <c r="C34" s="317" t="s">
        <v>401</v>
      </c>
      <c r="D34" s="318"/>
      <c r="E34" s="177">
        <v>2013</v>
      </c>
      <c r="F34" s="104"/>
      <c r="G34" s="104"/>
      <c r="H34" s="104">
        <v>120</v>
      </c>
      <c r="I34" s="104"/>
      <c r="J34" s="104"/>
    </row>
    <row r="35" spans="1:10" ht="24.75" customHeight="1">
      <c r="A35" s="112"/>
      <c r="B35" s="113"/>
      <c r="C35" s="326" t="s">
        <v>402</v>
      </c>
      <c r="D35" s="327"/>
      <c r="E35" s="177">
        <v>2013</v>
      </c>
      <c r="F35" s="104"/>
      <c r="G35" s="104"/>
      <c r="H35" s="104">
        <v>13</v>
      </c>
      <c r="I35" s="104"/>
      <c r="J35" s="104"/>
    </row>
    <row r="36" spans="1:10" ht="18" customHeight="1">
      <c r="A36" s="112"/>
      <c r="B36" s="155"/>
      <c r="C36" s="317" t="s">
        <v>403</v>
      </c>
      <c r="D36" s="318"/>
      <c r="E36" s="177">
        <v>2013</v>
      </c>
      <c r="F36" s="104"/>
      <c r="G36" s="104"/>
      <c r="H36" s="104">
        <v>50</v>
      </c>
      <c r="I36" s="104"/>
      <c r="J36" s="104"/>
    </row>
    <row r="37" spans="1:10" ht="14.25" customHeight="1">
      <c r="A37" s="112"/>
      <c r="B37" s="155"/>
      <c r="C37" s="329" t="s">
        <v>404</v>
      </c>
      <c r="D37" s="330"/>
      <c r="E37" s="177">
        <v>2013</v>
      </c>
      <c r="F37" s="104"/>
      <c r="G37" s="104"/>
      <c r="H37" s="104">
        <v>38</v>
      </c>
      <c r="I37" s="104"/>
      <c r="J37" s="104"/>
    </row>
    <row r="38" spans="1:10" ht="14.25" customHeight="1">
      <c r="A38" s="112"/>
      <c r="B38" s="155"/>
      <c r="C38" s="315" t="s">
        <v>421</v>
      </c>
      <c r="D38" s="316"/>
      <c r="E38" s="174"/>
      <c r="F38" s="104"/>
      <c r="G38" s="104"/>
      <c r="H38" s="104"/>
      <c r="I38" s="104">
        <v>100</v>
      </c>
      <c r="J38" s="104"/>
    </row>
    <row r="39" spans="1:10" ht="14.25" customHeight="1">
      <c r="A39" s="112"/>
      <c r="B39" s="155"/>
      <c r="C39" s="315" t="s">
        <v>422</v>
      </c>
      <c r="D39" s="316"/>
      <c r="E39" s="177">
        <v>2013</v>
      </c>
      <c r="F39" s="104"/>
      <c r="G39" s="104"/>
      <c r="H39" s="104"/>
      <c r="I39" s="104">
        <v>3</v>
      </c>
      <c r="J39" s="104"/>
    </row>
    <row r="40" spans="1:10" ht="17.25" customHeight="1">
      <c r="A40" s="112"/>
      <c r="B40" s="155"/>
      <c r="C40" s="315" t="s">
        <v>453</v>
      </c>
      <c r="D40" s="316"/>
      <c r="E40" s="177">
        <v>2013</v>
      </c>
      <c r="F40" s="104"/>
      <c r="G40" s="104"/>
      <c r="H40" s="104"/>
      <c r="I40" s="104">
        <v>3</v>
      </c>
      <c r="J40" s="104"/>
    </row>
    <row r="41" spans="1:10" s="107" customFormat="1" ht="39" customHeight="1">
      <c r="A41" s="112"/>
      <c r="B41" s="155"/>
      <c r="C41" s="313" t="s">
        <v>454</v>
      </c>
      <c r="D41" s="325"/>
      <c r="E41" s="177">
        <v>2013</v>
      </c>
      <c r="F41" s="104"/>
      <c r="G41" s="104"/>
      <c r="H41" s="104"/>
      <c r="I41" s="104">
        <v>30</v>
      </c>
      <c r="J41" s="104"/>
    </row>
    <row r="42" spans="1:10" s="107" customFormat="1" ht="51.75" customHeight="1">
      <c r="A42" s="112"/>
      <c r="B42" s="155"/>
      <c r="C42" s="313" t="s">
        <v>455</v>
      </c>
      <c r="D42" s="314"/>
      <c r="E42" s="177">
        <v>2014</v>
      </c>
      <c r="F42" s="104"/>
      <c r="G42" s="104"/>
      <c r="H42" s="104"/>
      <c r="I42" s="104">
        <v>3600</v>
      </c>
      <c r="J42" s="104"/>
    </row>
    <row r="43" spans="1:10" s="107" customFormat="1" ht="22.5" customHeight="1">
      <c r="A43" s="112"/>
      <c r="B43" s="155"/>
      <c r="C43" s="315" t="s">
        <v>423</v>
      </c>
      <c r="D43" s="316"/>
      <c r="E43" s="177">
        <v>2014</v>
      </c>
      <c r="F43" s="104"/>
      <c r="G43" s="104"/>
      <c r="H43" s="104"/>
      <c r="I43" s="104">
        <v>50</v>
      </c>
      <c r="J43" s="104"/>
    </row>
    <row r="44" spans="1:10" s="107" customFormat="1" ht="22.5" customHeight="1">
      <c r="A44" s="112"/>
      <c r="B44" s="155"/>
      <c r="C44" s="315" t="s">
        <v>456</v>
      </c>
      <c r="D44" s="316"/>
      <c r="E44" s="177">
        <v>2015</v>
      </c>
      <c r="F44" s="104"/>
      <c r="G44" s="104"/>
      <c r="H44" s="104"/>
      <c r="I44" s="104"/>
      <c r="J44" s="104">
        <v>495</v>
      </c>
    </row>
    <row r="45" spans="1:10" ht="22.5" customHeight="1">
      <c r="A45" s="112"/>
      <c r="B45" s="155"/>
      <c r="C45" s="315" t="s">
        <v>457</v>
      </c>
      <c r="D45" s="316"/>
      <c r="E45" s="177">
        <v>2015</v>
      </c>
      <c r="F45" s="104"/>
      <c r="G45" s="104"/>
      <c r="H45" s="104"/>
      <c r="I45" s="104"/>
      <c r="J45" s="104">
        <v>495</v>
      </c>
    </row>
    <row r="46" spans="1:10" ht="26.25" customHeight="1">
      <c r="A46" s="112"/>
      <c r="B46" s="155"/>
      <c r="C46" s="315" t="s">
        <v>458</v>
      </c>
      <c r="D46" s="316"/>
      <c r="E46" s="177">
        <v>2015</v>
      </c>
      <c r="F46" s="104"/>
      <c r="G46" s="104"/>
      <c r="H46" s="104"/>
      <c r="I46" s="104"/>
      <c r="J46" s="104">
        <v>3600</v>
      </c>
    </row>
    <row r="47" spans="1:10" ht="21.75" customHeight="1">
      <c r="A47" s="112"/>
      <c r="B47" s="155"/>
      <c r="C47" s="315" t="s">
        <v>459</v>
      </c>
      <c r="D47" s="316"/>
      <c r="E47" s="177">
        <v>2015</v>
      </c>
      <c r="F47" s="104"/>
      <c r="G47" s="104"/>
      <c r="H47" s="104"/>
      <c r="I47" s="104"/>
      <c r="J47" s="104">
        <v>900</v>
      </c>
    </row>
    <row r="48" spans="1:10" ht="12.75" customHeight="1">
      <c r="A48" s="111"/>
      <c r="B48" s="110"/>
      <c r="C48" s="331" t="s">
        <v>303</v>
      </c>
      <c r="D48" s="331"/>
      <c r="E48" s="179"/>
      <c r="F48" s="181">
        <f>SUM(F49:F51)</f>
        <v>71</v>
      </c>
      <c r="G48" s="181">
        <f>SUM(G49:G51)</f>
        <v>70.3</v>
      </c>
      <c r="H48" s="181">
        <f>H52+H53+H54+H55+H56+H57</f>
        <v>3323</v>
      </c>
      <c r="I48" s="181">
        <f>SUM(I58:I65)</f>
        <v>1100</v>
      </c>
      <c r="J48" s="181">
        <f>SUM(J66:J67)</f>
        <v>4500</v>
      </c>
    </row>
    <row r="49" spans="1:10" ht="12.75" customHeight="1">
      <c r="A49" s="111"/>
      <c r="B49" s="110"/>
      <c r="C49" s="319" t="s">
        <v>432</v>
      </c>
      <c r="D49" s="332"/>
      <c r="E49" s="179"/>
      <c r="F49" s="182">
        <v>31</v>
      </c>
      <c r="G49" s="182">
        <v>30.4</v>
      </c>
      <c r="H49" s="181"/>
      <c r="I49" s="181"/>
      <c r="J49" s="181"/>
    </row>
    <row r="50" spans="1:10" ht="24.75" customHeight="1">
      <c r="A50" s="111"/>
      <c r="B50" s="110"/>
      <c r="C50" s="313" t="s">
        <v>433</v>
      </c>
      <c r="D50" s="314"/>
      <c r="E50" s="180"/>
      <c r="F50" s="182">
        <v>35</v>
      </c>
      <c r="G50" s="182">
        <v>34.9</v>
      </c>
      <c r="H50" s="182"/>
      <c r="I50" s="182"/>
      <c r="J50" s="181"/>
    </row>
    <row r="51" spans="1:10" ht="15.75" customHeight="1">
      <c r="A51" s="111"/>
      <c r="B51" s="110"/>
      <c r="C51" s="313" t="s">
        <v>434</v>
      </c>
      <c r="D51" s="314"/>
      <c r="E51" s="180"/>
      <c r="F51" s="182">
        <v>5</v>
      </c>
      <c r="G51" s="182">
        <v>5</v>
      </c>
      <c r="H51" s="182"/>
      <c r="I51" s="182"/>
      <c r="J51" s="181"/>
    </row>
    <row r="52" spans="1:10" s="107" customFormat="1" ht="39" customHeight="1">
      <c r="A52" s="112"/>
      <c r="B52" s="113"/>
      <c r="C52" s="317" t="s">
        <v>405</v>
      </c>
      <c r="D52" s="318"/>
      <c r="E52" s="177">
        <v>2013</v>
      </c>
      <c r="F52" s="104"/>
      <c r="G52" s="104"/>
      <c r="H52" s="104">
        <v>1470</v>
      </c>
      <c r="I52" s="104"/>
      <c r="J52" s="104"/>
    </row>
    <row r="53" spans="1:10" s="107" customFormat="1" ht="12.75" customHeight="1">
      <c r="A53" s="112"/>
      <c r="B53" s="113"/>
      <c r="C53" s="317" t="s">
        <v>406</v>
      </c>
      <c r="D53" s="318"/>
      <c r="E53" s="177">
        <v>2013</v>
      </c>
      <c r="F53" s="104"/>
      <c r="G53" s="104"/>
      <c r="H53" s="104">
        <v>1000</v>
      </c>
      <c r="I53" s="104"/>
      <c r="J53" s="104"/>
    </row>
    <row r="54" spans="1:10" s="120" customFormat="1" ht="12.75" customHeight="1">
      <c r="A54" s="112"/>
      <c r="B54" s="113"/>
      <c r="C54" s="317" t="s">
        <v>407</v>
      </c>
      <c r="D54" s="318"/>
      <c r="E54" s="177">
        <v>2013</v>
      </c>
      <c r="F54" s="104"/>
      <c r="G54" s="104"/>
      <c r="H54" s="104">
        <v>550</v>
      </c>
      <c r="I54" s="104"/>
      <c r="J54" s="104"/>
    </row>
    <row r="55" spans="1:10" s="120" customFormat="1" ht="12.75" customHeight="1">
      <c r="A55" s="112"/>
      <c r="B55" s="113"/>
      <c r="C55" s="317" t="s">
        <v>408</v>
      </c>
      <c r="D55" s="318"/>
      <c r="E55" s="177">
        <v>2013</v>
      </c>
      <c r="F55" s="104"/>
      <c r="G55" s="104"/>
      <c r="H55" s="104">
        <v>180</v>
      </c>
      <c r="I55" s="104"/>
      <c r="J55" s="104"/>
    </row>
    <row r="56" spans="1:10" s="120" customFormat="1" ht="12.75" customHeight="1">
      <c r="A56" s="112"/>
      <c r="B56" s="113"/>
      <c r="C56" s="317" t="s">
        <v>460</v>
      </c>
      <c r="D56" s="318"/>
      <c r="E56" s="177">
        <v>2013</v>
      </c>
      <c r="F56" s="104"/>
      <c r="G56" s="104"/>
      <c r="H56" s="104">
        <v>63</v>
      </c>
      <c r="I56" s="104"/>
      <c r="J56" s="104"/>
    </row>
    <row r="57" spans="1:10" ht="12.75" customHeight="1">
      <c r="A57" s="112"/>
      <c r="B57" s="113"/>
      <c r="C57" s="317" t="s">
        <v>461</v>
      </c>
      <c r="D57" s="318"/>
      <c r="E57" s="177">
        <v>2013</v>
      </c>
      <c r="F57" s="104"/>
      <c r="G57" s="104"/>
      <c r="H57" s="104">
        <v>60</v>
      </c>
      <c r="I57" s="104"/>
      <c r="J57" s="104"/>
    </row>
    <row r="58" spans="1:10" ht="12.75" customHeight="1">
      <c r="A58" s="112"/>
      <c r="B58" s="113"/>
      <c r="C58" s="317" t="s">
        <v>420</v>
      </c>
      <c r="D58" s="318"/>
      <c r="E58" s="177">
        <v>2014</v>
      </c>
      <c r="F58" s="104"/>
      <c r="G58" s="104"/>
      <c r="H58" s="104"/>
      <c r="I58" s="104">
        <v>165</v>
      </c>
      <c r="J58" s="104"/>
    </row>
    <row r="59" spans="1:10" ht="32.25" customHeight="1">
      <c r="A59" s="112"/>
      <c r="B59" s="113"/>
      <c r="C59" s="317" t="s">
        <v>430</v>
      </c>
      <c r="D59" s="318"/>
      <c r="E59" s="177">
        <v>2014</v>
      </c>
      <c r="F59" s="104"/>
      <c r="G59" s="104"/>
      <c r="H59" s="104"/>
      <c r="I59" s="104">
        <v>70</v>
      </c>
      <c r="J59" s="104"/>
    </row>
    <row r="60" spans="1:10" ht="25.5" customHeight="1">
      <c r="A60" s="112"/>
      <c r="B60" s="113"/>
      <c r="C60" s="317" t="s">
        <v>462</v>
      </c>
      <c r="D60" s="318"/>
      <c r="E60" s="177">
        <v>2014</v>
      </c>
      <c r="F60" s="104"/>
      <c r="G60" s="104"/>
      <c r="H60" s="104"/>
      <c r="I60" s="104">
        <v>85</v>
      </c>
      <c r="J60" s="104"/>
    </row>
    <row r="61" spans="1:10" ht="12.75" customHeight="1">
      <c r="A61" s="112"/>
      <c r="B61" s="113"/>
      <c r="C61" s="317" t="s">
        <v>463</v>
      </c>
      <c r="D61" s="318"/>
      <c r="E61" s="177">
        <v>2014</v>
      </c>
      <c r="F61" s="104"/>
      <c r="G61" s="104"/>
      <c r="H61" s="104"/>
      <c r="I61" s="104">
        <v>45</v>
      </c>
      <c r="J61" s="104"/>
    </row>
    <row r="62" spans="1:10" ht="27" customHeight="1">
      <c r="A62" s="112"/>
      <c r="B62" s="113"/>
      <c r="C62" s="317" t="s">
        <v>464</v>
      </c>
      <c r="D62" s="318"/>
      <c r="E62" s="177">
        <v>2014</v>
      </c>
      <c r="F62" s="104"/>
      <c r="G62" s="104"/>
      <c r="H62" s="104"/>
      <c r="I62" s="104">
        <v>45</v>
      </c>
      <c r="J62" s="104"/>
    </row>
    <row r="63" spans="1:10" ht="12.75" customHeight="1">
      <c r="A63" s="112"/>
      <c r="B63" s="113"/>
      <c r="C63" s="317" t="s">
        <v>465</v>
      </c>
      <c r="D63" s="318"/>
      <c r="E63" s="177">
        <v>2014</v>
      </c>
      <c r="F63" s="104"/>
      <c r="G63" s="104"/>
      <c r="H63" s="104"/>
      <c r="I63" s="104">
        <v>30</v>
      </c>
      <c r="J63" s="104"/>
    </row>
    <row r="64" spans="1:10" ht="12.75" customHeight="1">
      <c r="A64" s="112"/>
      <c r="B64" s="113"/>
      <c r="C64" s="317" t="s">
        <v>466</v>
      </c>
      <c r="D64" s="318"/>
      <c r="E64" s="177">
        <v>2014</v>
      </c>
      <c r="F64" s="104"/>
      <c r="G64" s="104"/>
      <c r="H64" s="104"/>
      <c r="I64" s="104">
        <v>60</v>
      </c>
      <c r="J64" s="104"/>
    </row>
    <row r="65" spans="1:10" ht="12.75" customHeight="1">
      <c r="A65" s="112"/>
      <c r="B65" s="113"/>
      <c r="C65" s="317" t="s">
        <v>431</v>
      </c>
      <c r="D65" s="318"/>
      <c r="E65" s="177">
        <v>2014</v>
      </c>
      <c r="F65" s="104"/>
      <c r="G65" s="104"/>
      <c r="H65" s="104"/>
      <c r="I65" s="104">
        <v>600</v>
      </c>
      <c r="J65" s="104"/>
    </row>
    <row r="66" spans="1:10" ht="12.75" customHeight="1">
      <c r="A66" s="112"/>
      <c r="B66" s="113"/>
      <c r="C66" s="322" t="s">
        <v>467</v>
      </c>
      <c r="D66" s="323"/>
      <c r="E66" s="177"/>
      <c r="F66" s="104"/>
      <c r="G66" s="104"/>
      <c r="H66" s="104"/>
      <c r="I66" s="104"/>
      <c r="J66" s="104">
        <v>2500</v>
      </c>
    </row>
    <row r="67" spans="1:10" ht="12.75" customHeight="1">
      <c r="A67" s="112"/>
      <c r="B67" s="113"/>
      <c r="C67" s="317" t="s">
        <v>468</v>
      </c>
      <c r="D67" s="318"/>
      <c r="E67" s="177"/>
      <c r="F67" s="104"/>
      <c r="G67" s="104"/>
      <c r="H67" s="104"/>
      <c r="I67" s="104"/>
      <c r="J67" s="104">
        <v>2000</v>
      </c>
    </row>
    <row r="68" spans="1:10" ht="30" customHeight="1">
      <c r="A68" s="111"/>
      <c r="B68" s="110"/>
      <c r="C68" s="321" t="s">
        <v>304</v>
      </c>
      <c r="D68" s="321"/>
      <c r="E68" s="179"/>
      <c r="F68" s="181">
        <f>SUM(F69:F72)</f>
        <v>402</v>
      </c>
      <c r="G68" s="181">
        <f>SUM(G69:G72)</f>
        <v>401.4</v>
      </c>
      <c r="H68" s="181">
        <f>SUM(H73:H83)</f>
        <v>4716</v>
      </c>
      <c r="I68" s="181">
        <f>SUM(I84:I90)</f>
        <v>7124</v>
      </c>
      <c r="J68" s="181">
        <f>SUM(J91)</f>
        <v>3500</v>
      </c>
    </row>
    <row r="69" spans="1:10" ht="16.5" customHeight="1">
      <c r="A69" s="111"/>
      <c r="B69" s="110"/>
      <c r="C69" s="319" t="s">
        <v>435</v>
      </c>
      <c r="D69" s="320"/>
      <c r="E69" s="179"/>
      <c r="F69" s="182">
        <v>305</v>
      </c>
      <c r="G69" s="182">
        <v>304.9</v>
      </c>
      <c r="H69" s="181"/>
      <c r="I69" s="181"/>
      <c r="J69" s="181"/>
    </row>
    <row r="70" spans="1:10" ht="12" customHeight="1">
      <c r="A70" s="122"/>
      <c r="B70" s="163"/>
      <c r="C70" s="319" t="s">
        <v>436</v>
      </c>
      <c r="D70" s="320"/>
      <c r="E70" s="180"/>
      <c r="F70" s="182">
        <v>21</v>
      </c>
      <c r="G70" s="182">
        <v>20.8</v>
      </c>
      <c r="H70" s="182"/>
      <c r="I70" s="182"/>
      <c r="J70" s="182"/>
    </row>
    <row r="71" spans="1:10" ht="13.5" customHeight="1">
      <c r="A71" s="122"/>
      <c r="B71" s="163"/>
      <c r="C71" s="319" t="s">
        <v>437</v>
      </c>
      <c r="D71" s="320"/>
      <c r="E71" s="180"/>
      <c r="F71" s="182">
        <v>60</v>
      </c>
      <c r="G71" s="182">
        <v>59.7</v>
      </c>
      <c r="H71" s="182"/>
      <c r="I71" s="182"/>
      <c r="J71" s="182"/>
    </row>
    <row r="72" spans="1:10" ht="13.5" customHeight="1">
      <c r="A72" s="122"/>
      <c r="B72" s="163"/>
      <c r="C72" s="319" t="s">
        <v>438</v>
      </c>
      <c r="D72" s="320"/>
      <c r="E72" s="180"/>
      <c r="F72" s="182">
        <v>16</v>
      </c>
      <c r="G72" s="182">
        <v>16</v>
      </c>
      <c r="H72" s="182"/>
      <c r="I72" s="182"/>
      <c r="J72" s="182"/>
    </row>
    <row r="73" spans="1:10" ht="13.5" customHeight="1">
      <c r="A73" s="112"/>
      <c r="B73" s="113"/>
      <c r="C73" s="312" t="s">
        <v>409</v>
      </c>
      <c r="D73" s="312"/>
      <c r="E73" s="177">
        <v>2013</v>
      </c>
      <c r="F73" s="104"/>
      <c r="G73" s="104"/>
      <c r="H73" s="104">
        <v>6</v>
      </c>
      <c r="I73" s="104"/>
      <c r="J73" s="104"/>
    </row>
    <row r="74" spans="1:10" ht="30" customHeight="1">
      <c r="A74" s="112"/>
      <c r="B74" s="113"/>
      <c r="C74" s="317" t="s">
        <v>410</v>
      </c>
      <c r="D74" s="318"/>
      <c r="E74" s="177">
        <v>2013</v>
      </c>
      <c r="F74" s="104"/>
      <c r="G74" s="104"/>
      <c r="H74" s="104">
        <v>2400</v>
      </c>
      <c r="I74" s="104"/>
      <c r="J74" s="104"/>
    </row>
    <row r="75" spans="1:10" ht="12.75" customHeight="1">
      <c r="A75" s="112"/>
      <c r="B75" s="113"/>
      <c r="C75" s="317" t="s">
        <v>411</v>
      </c>
      <c r="D75" s="318"/>
      <c r="E75" s="177">
        <v>2013</v>
      </c>
      <c r="F75" s="104"/>
      <c r="G75" s="104"/>
      <c r="H75" s="104">
        <v>45</v>
      </c>
      <c r="I75" s="104"/>
      <c r="J75" s="104"/>
    </row>
    <row r="76" spans="1:10" ht="12.75" customHeight="1">
      <c r="A76" s="112"/>
      <c r="B76" s="113"/>
      <c r="C76" s="317" t="s">
        <v>412</v>
      </c>
      <c r="D76" s="318"/>
      <c r="E76" s="177">
        <v>2013</v>
      </c>
      <c r="F76" s="104"/>
      <c r="G76" s="104"/>
      <c r="H76" s="104">
        <v>35</v>
      </c>
      <c r="I76" s="104"/>
      <c r="J76" s="104"/>
    </row>
    <row r="77" spans="1:10" ht="40.5" customHeight="1">
      <c r="A77" s="112"/>
      <c r="B77" s="113"/>
      <c r="C77" s="317" t="s">
        <v>413</v>
      </c>
      <c r="D77" s="318"/>
      <c r="E77" s="177">
        <v>2013</v>
      </c>
      <c r="F77" s="104"/>
      <c r="G77" s="104"/>
      <c r="H77" s="104">
        <v>50</v>
      </c>
      <c r="I77" s="104"/>
      <c r="J77" s="104"/>
    </row>
    <row r="78" spans="1:10" ht="27.75" customHeight="1">
      <c r="A78" s="112"/>
      <c r="B78" s="113"/>
      <c r="C78" s="317" t="s">
        <v>414</v>
      </c>
      <c r="D78" s="318"/>
      <c r="E78" s="177">
        <v>2013</v>
      </c>
      <c r="F78" s="104"/>
      <c r="G78" s="104"/>
      <c r="H78" s="104">
        <v>25</v>
      </c>
      <c r="I78" s="104"/>
      <c r="J78" s="104"/>
    </row>
    <row r="79" spans="1:10" ht="12.75" customHeight="1">
      <c r="A79" s="112"/>
      <c r="B79" s="113"/>
      <c r="C79" s="317" t="s">
        <v>415</v>
      </c>
      <c r="D79" s="318"/>
      <c r="E79" s="177">
        <v>2013</v>
      </c>
      <c r="F79" s="104"/>
      <c r="G79" s="104"/>
      <c r="H79" s="104">
        <v>450</v>
      </c>
      <c r="I79" s="104"/>
      <c r="J79" s="104"/>
    </row>
    <row r="80" spans="1:10" ht="12.75" customHeight="1">
      <c r="A80" s="112"/>
      <c r="B80" s="113"/>
      <c r="C80" s="317" t="s">
        <v>416</v>
      </c>
      <c r="D80" s="318"/>
      <c r="E80" s="177">
        <v>2013</v>
      </c>
      <c r="F80" s="104"/>
      <c r="G80" s="104"/>
      <c r="H80" s="104">
        <v>225</v>
      </c>
      <c r="I80" s="104"/>
      <c r="J80" s="104"/>
    </row>
    <row r="81" spans="1:10" ht="39" customHeight="1">
      <c r="A81" s="112"/>
      <c r="B81" s="113"/>
      <c r="C81" s="317" t="s">
        <v>417</v>
      </c>
      <c r="D81" s="318"/>
      <c r="E81" s="177">
        <v>2013</v>
      </c>
      <c r="F81" s="104"/>
      <c r="G81" s="104"/>
      <c r="H81" s="104">
        <v>1350</v>
      </c>
      <c r="I81" s="104"/>
      <c r="J81" s="104"/>
    </row>
    <row r="82" spans="1:10" ht="12.75" customHeight="1">
      <c r="A82" s="112"/>
      <c r="B82" s="113"/>
      <c r="C82" s="312" t="s">
        <v>418</v>
      </c>
      <c r="D82" s="312"/>
      <c r="E82" s="177">
        <v>2013</v>
      </c>
      <c r="F82" s="104"/>
      <c r="G82" s="104"/>
      <c r="H82" s="104">
        <v>40</v>
      </c>
      <c r="I82" s="104"/>
      <c r="J82" s="104"/>
    </row>
    <row r="83" spans="1:10" ht="12.75" customHeight="1">
      <c r="A83" s="112"/>
      <c r="B83" s="113"/>
      <c r="C83" s="312" t="s">
        <v>419</v>
      </c>
      <c r="D83" s="312"/>
      <c r="E83" s="177">
        <v>2013</v>
      </c>
      <c r="F83" s="104"/>
      <c r="G83" s="104"/>
      <c r="H83" s="104">
        <v>90</v>
      </c>
      <c r="I83" s="104"/>
      <c r="J83" s="104"/>
    </row>
    <row r="84" spans="1:10" ht="39" customHeight="1">
      <c r="A84" s="112"/>
      <c r="B84" s="113"/>
      <c r="C84" s="317" t="s">
        <v>424</v>
      </c>
      <c r="D84" s="318"/>
      <c r="E84" s="177">
        <v>2014</v>
      </c>
      <c r="F84" s="104"/>
      <c r="G84" s="104"/>
      <c r="H84" s="104"/>
      <c r="I84" s="104">
        <v>250</v>
      </c>
      <c r="J84" s="104"/>
    </row>
    <row r="85" spans="1:10" ht="12.75" customHeight="1">
      <c r="A85" s="112"/>
      <c r="B85" s="113"/>
      <c r="C85" s="317" t="s">
        <v>425</v>
      </c>
      <c r="D85" s="318"/>
      <c r="E85" s="177">
        <v>2014</v>
      </c>
      <c r="F85" s="104"/>
      <c r="G85" s="104"/>
      <c r="H85" s="104"/>
      <c r="I85" s="104">
        <v>46</v>
      </c>
      <c r="J85" s="104"/>
    </row>
    <row r="86" spans="1:10" ht="12.75" customHeight="1">
      <c r="A86" s="112"/>
      <c r="B86" s="113"/>
      <c r="C86" s="317" t="s">
        <v>426</v>
      </c>
      <c r="D86" s="318"/>
      <c r="E86" s="177">
        <v>2014</v>
      </c>
      <c r="F86" s="104"/>
      <c r="G86" s="104"/>
      <c r="H86" s="104"/>
      <c r="I86" s="104">
        <v>600</v>
      </c>
      <c r="J86" s="104"/>
    </row>
    <row r="87" spans="1:10" ht="45" customHeight="1">
      <c r="A87" s="112"/>
      <c r="B87" s="113"/>
      <c r="C87" s="317" t="s">
        <v>427</v>
      </c>
      <c r="D87" s="318"/>
      <c r="E87" s="177">
        <v>2014</v>
      </c>
      <c r="F87" s="104"/>
      <c r="G87" s="104"/>
      <c r="H87" s="104"/>
      <c r="I87" s="104">
        <v>3</v>
      </c>
      <c r="J87" s="104"/>
    </row>
    <row r="88" spans="1:10" ht="12.75" customHeight="1">
      <c r="A88" s="112"/>
      <c r="B88" s="113"/>
      <c r="C88" s="317" t="s">
        <v>428</v>
      </c>
      <c r="D88" s="318"/>
      <c r="E88" s="177">
        <v>2014</v>
      </c>
      <c r="F88" s="104"/>
      <c r="G88" s="104"/>
      <c r="H88" s="104"/>
      <c r="I88" s="104">
        <v>165</v>
      </c>
      <c r="J88" s="104"/>
    </row>
    <row r="89" spans="1:10" ht="12.75" customHeight="1">
      <c r="A89" s="112"/>
      <c r="B89" s="113"/>
      <c r="C89" s="317" t="s">
        <v>468</v>
      </c>
      <c r="D89" s="318"/>
      <c r="E89" s="177">
        <v>2014</v>
      </c>
      <c r="F89" s="104"/>
      <c r="G89" s="104"/>
      <c r="H89" s="104"/>
      <c r="I89" s="104">
        <v>6000</v>
      </c>
      <c r="J89" s="104"/>
    </row>
    <row r="90" spans="1:10" ht="26.25" customHeight="1">
      <c r="A90" s="112"/>
      <c r="B90" s="113"/>
      <c r="C90" s="317" t="s">
        <v>429</v>
      </c>
      <c r="D90" s="318"/>
      <c r="E90" s="177">
        <v>2014</v>
      </c>
      <c r="F90" s="104"/>
      <c r="G90" s="104"/>
      <c r="H90" s="104"/>
      <c r="I90" s="104">
        <v>60</v>
      </c>
      <c r="J90" s="104"/>
    </row>
    <row r="91" spans="1:10" ht="26.25" customHeight="1">
      <c r="A91" s="112"/>
      <c r="B91" s="113"/>
      <c r="C91" s="317" t="s">
        <v>469</v>
      </c>
      <c r="D91" s="318"/>
      <c r="E91" s="177">
        <v>2015</v>
      </c>
      <c r="F91" s="104"/>
      <c r="G91" s="104"/>
      <c r="H91" s="104"/>
      <c r="I91" s="104"/>
      <c r="J91" s="104">
        <v>3500</v>
      </c>
    </row>
    <row r="92" spans="1:10" ht="12.75" customHeight="1" hidden="1">
      <c r="A92" s="112"/>
      <c r="B92" s="113"/>
      <c r="C92" s="324" t="s">
        <v>305</v>
      </c>
      <c r="D92" s="324"/>
      <c r="E92" s="177"/>
      <c r="F92" s="104"/>
      <c r="G92" s="104"/>
      <c r="H92" s="104"/>
      <c r="I92" s="104"/>
      <c r="J92" s="104"/>
    </row>
    <row r="93" spans="1:10" ht="12.75" customHeight="1" hidden="1">
      <c r="A93" s="112"/>
      <c r="B93" s="113"/>
      <c r="C93" s="317" t="s">
        <v>302</v>
      </c>
      <c r="D93" s="318"/>
      <c r="E93" s="177"/>
      <c r="F93" s="104"/>
      <c r="G93" s="104"/>
      <c r="H93" s="104"/>
      <c r="I93" s="104"/>
      <c r="J93" s="104"/>
    </row>
    <row r="94" spans="1:10" ht="12.75" hidden="1">
      <c r="A94" s="112"/>
      <c r="B94" s="113"/>
      <c r="C94" s="317" t="s">
        <v>302</v>
      </c>
      <c r="D94" s="318"/>
      <c r="E94" s="177"/>
      <c r="F94" s="104"/>
      <c r="G94" s="104"/>
      <c r="H94" s="104"/>
      <c r="I94" s="104"/>
      <c r="J94" s="104"/>
    </row>
    <row r="95" spans="1:10" ht="12.75" hidden="1">
      <c r="A95" s="112"/>
      <c r="B95" s="114">
        <v>3</v>
      </c>
      <c r="C95" s="324" t="s">
        <v>308</v>
      </c>
      <c r="D95" s="324"/>
      <c r="E95" s="177"/>
      <c r="F95" s="104"/>
      <c r="G95" s="104"/>
      <c r="H95" s="104"/>
      <c r="I95" s="104"/>
      <c r="J95" s="104"/>
    </row>
    <row r="96" spans="2:10" ht="12.75" hidden="1">
      <c r="B96" s="113"/>
      <c r="C96" s="324" t="s">
        <v>301</v>
      </c>
      <c r="D96" s="324"/>
      <c r="E96" s="177"/>
      <c r="F96" s="104"/>
      <c r="G96" s="104"/>
      <c r="H96" s="104"/>
      <c r="I96" s="104"/>
      <c r="J96" s="104"/>
    </row>
    <row r="97" spans="1:10" ht="12.75" hidden="1">
      <c r="A97" s="112"/>
      <c r="B97" s="113"/>
      <c r="C97" s="317" t="s">
        <v>302</v>
      </c>
      <c r="D97" s="318"/>
      <c r="E97" s="177"/>
      <c r="F97" s="104"/>
      <c r="G97" s="104"/>
      <c r="H97" s="104"/>
      <c r="I97" s="104"/>
      <c r="J97" s="104"/>
    </row>
    <row r="98" spans="1:10" ht="12.75" hidden="1">
      <c r="A98" s="112"/>
      <c r="B98" s="113"/>
      <c r="C98" s="317" t="s">
        <v>302</v>
      </c>
      <c r="D98" s="318"/>
      <c r="E98" s="177"/>
      <c r="F98" s="104"/>
      <c r="G98" s="104"/>
      <c r="H98" s="104"/>
      <c r="I98" s="104"/>
      <c r="J98" s="104"/>
    </row>
    <row r="99" spans="1:10" ht="12.75" hidden="1">
      <c r="A99" s="112"/>
      <c r="B99" s="113"/>
      <c r="C99" s="324" t="s">
        <v>303</v>
      </c>
      <c r="D99" s="324"/>
      <c r="E99" s="177"/>
      <c r="F99" s="104"/>
      <c r="G99" s="104"/>
      <c r="H99" s="104"/>
      <c r="I99" s="104"/>
      <c r="J99" s="104"/>
    </row>
    <row r="100" spans="1:10" ht="12.75" hidden="1">
      <c r="A100" s="112"/>
      <c r="B100" s="113"/>
      <c r="C100" s="317" t="s">
        <v>302</v>
      </c>
      <c r="D100" s="318"/>
      <c r="E100" s="177"/>
      <c r="F100" s="104"/>
      <c r="G100" s="104"/>
      <c r="H100" s="104"/>
      <c r="I100" s="104"/>
      <c r="J100" s="104"/>
    </row>
    <row r="101" spans="1:10" ht="12.75" hidden="1">
      <c r="A101" s="112"/>
      <c r="B101" s="113"/>
      <c r="C101" s="317" t="s">
        <v>302</v>
      </c>
      <c r="D101" s="318"/>
      <c r="E101" s="177"/>
      <c r="F101" s="104"/>
      <c r="G101" s="104"/>
      <c r="H101" s="104"/>
      <c r="I101" s="104"/>
      <c r="J101" s="104"/>
    </row>
    <row r="102" spans="1:10" ht="12.75" hidden="1">
      <c r="A102" s="112"/>
      <c r="B102" s="113"/>
      <c r="C102" s="324" t="s">
        <v>304</v>
      </c>
      <c r="D102" s="324"/>
      <c r="E102" s="177"/>
      <c r="F102" s="104"/>
      <c r="G102" s="104"/>
      <c r="H102" s="104"/>
      <c r="I102" s="104"/>
      <c r="J102" s="104"/>
    </row>
    <row r="103" spans="1:10" ht="12.75" hidden="1">
      <c r="A103" s="112"/>
      <c r="B103" s="113"/>
      <c r="C103" s="317" t="s">
        <v>302</v>
      </c>
      <c r="D103" s="318"/>
      <c r="E103" s="177"/>
      <c r="F103" s="104"/>
      <c r="G103" s="104"/>
      <c r="H103" s="104"/>
      <c r="I103" s="104"/>
      <c r="J103" s="104"/>
    </row>
    <row r="104" spans="1:10" ht="12.75" hidden="1">
      <c r="A104" s="112"/>
      <c r="B104" s="113"/>
      <c r="C104" s="317" t="s">
        <v>302</v>
      </c>
      <c r="D104" s="318"/>
      <c r="E104" s="177"/>
      <c r="F104" s="104"/>
      <c r="G104" s="104"/>
      <c r="H104" s="104"/>
      <c r="I104" s="104"/>
      <c r="J104" s="104"/>
    </row>
    <row r="105" spans="1:10" ht="12.75" hidden="1">
      <c r="A105" s="112"/>
      <c r="B105" s="113"/>
      <c r="C105" s="324" t="s">
        <v>305</v>
      </c>
      <c r="D105" s="324"/>
      <c r="E105" s="177"/>
      <c r="F105" s="104"/>
      <c r="G105" s="104"/>
      <c r="H105" s="104"/>
      <c r="I105" s="104"/>
      <c r="J105" s="104"/>
    </row>
    <row r="106" spans="1:10" ht="12.75" hidden="1">
      <c r="A106" s="112"/>
      <c r="B106" s="113"/>
      <c r="C106" s="317" t="s">
        <v>302</v>
      </c>
      <c r="D106" s="318"/>
      <c r="E106" s="177"/>
      <c r="F106" s="104"/>
      <c r="G106" s="104"/>
      <c r="H106" s="104"/>
      <c r="I106" s="104"/>
      <c r="J106" s="104"/>
    </row>
    <row r="107" spans="1:10" ht="12.75" hidden="1">
      <c r="A107" s="112"/>
      <c r="B107" s="113"/>
      <c r="C107" s="317" t="s">
        <v>302</v>
      </c>
      <c r="D107" s="318"/>
      <c r="E107" s="177"/>
      <c r="F107" s="104"/>
      <c r="G107" s="104"/>
      <c r="H107" s="104"/>
      <c r="I107" s="104"/>
      <c r="J107" s="104"/>
    </row>
    <row r="108" spans="1:10" ht="12.75" hidden="1">
      <c r="A108" s="112"/>
      <c r="B108" s="114">
        <v>4</v>
      </c>
      <c r="C108" s="324" t="s">
        <v>309</v>
      </c>
      <c r="D108" s="324"/>
      <c r="E108" s="177"/>
      <c r="F108" s="104"/>
      <c r="G108" s="104"/>
      <c r="H108" s="104"/>
      <c r="I108" s="104"/>
      <c r="J108" s="104"/>
    </row>
    <row r="109" spans="1:10" ht="12.75">
      <c r="A109" s="112"/>
      <c r="B109" s="114">
        <v>5</v>
      </c>
      <c r="C109" s="324" t="s">
        <v>310</v>
      </c>
      <c r="D109" s="324"/>
      <c r="E109" s="177"/>
      <c r="F109" s="104"/>
      <c r="G109" s="104"/>
      <c r="H109" s="104">
        <v>0</v>
      </c>
      <c r="I109" s="104">
        <v>1079</v>
      </c>
      <c r="J109" s="104">
        <v>1691.5</v>
      </c>
    </row>
    <row r="110" spans="6:10" ht="12.75">
      <c r="F110" s="101"/>
      <c r="G110" s="101"/>
      <c r="H110" s="101"/>
      <c r="I110" s="101"/>
      <c r="J110" s="101"/>
    </row>
  </sheetData>
  <mergeCells count="109">
    <mergeCell ref="C106:D106"/>
    <mergeCell ref="C107:D107"/>
    <mergeCell ref="C108:D108"/>
    <mergeCell ref="C109:D109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C94:D94"/>
    <mergeCell ref="C95:D95"/>
    <mergeCell ref="C96:D96"/>
    <mergeCell ref="C97:D97"/>
    <mergeCell ref="A4:J4"/>
    <mergeCell ref="A6:A7"/>
    <mergeCell ref="B6:B7"/>
    <mergeCell ref="C6:D7"/>
    <mergeCell ref="E6:E7"/>
    <mergeCell ref="F6:G6"/>
    <mergeCell ref="H6:J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48:D48"/>
    <mergeCell ref="C49:D49"/>
    <mergeCell ref="C63:D63"/>
    <mergeCell ref="C64:D64"/>
    <mergeCell ref="C58:D58"/>
    <mergeCell ref="C59:D59"/>
    <mergeCell ref="C60:D60"/>
    <mergeCell ref="C62:D62"/>
    <mergeCell ref="C37:D37"/>
    <mergeCell ref="C36:D36"/>
    <mergeCell ref="C46:D46"/>
    <mergeCell ref="C47:D47"/>
    <mergeCell ref="C24:D24"/>
    <mergeCell ref="C25:D25"/>
    <mergeCell ref="C26:D26"/>
    <mergeCell ref="C27:D27"/>
    <mergeCell ref="C28:D28"/>
    <mergeCell ref="C41:D41"/>
    <mergeCell ref="C45:D45"/>
    <mergeCell ref="C29:D29"/>
    <mergeCell ref="C30:D30"/>
    <mergeCell ref="C31:D31"/>
    <mergeCell ref="C32:D32"/>
    <mergeCell ref="C33:D33"/>
    <mergeCell ref="C34:D34"/>
    <mergeCell ref="C35:D3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65:D65"/>
    <mergeCell ref="C68:D68"/>
    <mergeCell ref="C38:D38"/>
    <mergeCell ref="C39:D39"/>
    <mergeCell ref="C40:D40"/>
    <mergeCell ref="C52:D52"/>
    <mergeCell ref="C57:D57"/>
    <mergeCell ref="C67:D67"/>
    <mergeCell ref="C61:D61"/>
    <mergeCell ref="C66:D66"/>
    <mergeCell ref="C69:D69"/>
    <mergeCell ref="C70:D70"/>
    <mergeCell ref="C71:D71"/>
    <mergeCell ref="C72:D72"/>
    <mergeCell ref="C73:D73"/>
    <mergeCell ref="C50:D50"/>
    <mergeCell ref="C51:D51"/>
    <mergeCell ref="C42:D42"/>
    <mergeCell ref="C43:D43"/>
    <mergeCell ref="C44:D44"/>
    <mergeCell ref="C53:D53"/>
    <mergeCell ref="C54:D54"/>
    <mergeCell ref="C55:D55"/>
    <mergeCell ref="C56:D56"/>
  </mergeCells>
  <printOptions horizontalCentered="1"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4"/>
  <sheetViews>
    <sheetView workbookViewId="0" topLeftCell="A1">
      <selection activeCell="L9" sqref="L9"/>
    </sheetView>
  </sheetViews>
  <sheetFormatPr defaultColWidth="9.140625" defaultRowHeight="12.75"/>
  <cols>
    <col min="1" max="1" width="6.140625" style="115" customWidth="1"/>
    <col min="2" max="2" width="10.7109375" style="0" customWidth="1"/>
    <col min="3" max="3" width="19.8515625" style="0" customWidth="1"/>
    <col min="4" max="5" width="11.57421875" style="0" customWidth="1"/>
    <col min="6" max="6" width="16.140625" style="0" customWidth="1"/>
    <col min="7" max="7" width="15.00390625" style="0" customWidth="1"/>
    <col min="8" max="10" width="11.57421875" style="0" customWidth="1"/>
  </cols>
  <sheetData>
    <row r="3" spans="1:9" ht="12.75">
      <c r="A3" s="5"/>
      <c r="B3" s="5"/>
      <c r="H3" s="4" t="s">
        <v>311</v>
      </c>
      <c r="I3" s="5"/>
    </row>
    <row r="5" spans="1:4" ht="12.75">
      <c r="A5" s="340" t="s">
        <v>312</v>
      </c>
      <c r="B5" s="340"/>
      <c r="C5" s="340"/>
      <c r="D5" s="340"/>
    </row>
    <row r="6" spans="1:4" ht="12.75">
      <c r="A6" s="106"/>
      <c r="B6" s="106"/>
      <c r="C6" s="106"/>
      <c r="D6" s="106"/>
    </row>
    <row r="7" spans="1:10" ht="17.25" customHeight="1">
      <c r="A7" s="366" t="s">
        <v>285</v>
      </c>
      <c r="B7" s="369" t="s">
        <v>313</v>
      </c>
      <c r="C7" s="370"/>
      <c r="D7" s="358" t="s">
        <v>470</v>
      </c>
      <c r="E7" s="358" t="s">
        <v>471</v>
      </c>
      <c r="F7" s="364" t="s">
        <v>472</v>
      </c>
      <c r="G7" s="365"/>
      <c r="H7" s="358" t="s">
        <v>473</v>
      </c>
      <c r="I7" s="358" t="s">
        <v>474</v>
      </c>
      <c r="J7" s="358" t="s">
        <v>475</v>
      </c>
    </row>
    <row r="8" spans="1:10" ht="30.75" customHeight="1">
      <c r="A8" s="367"/>
      <c r="B8" s="371"/>
      <c r="C8" s="372"/>
      <c r="D8" s="359"/>
      <c r="E8" s="359"/>
      <c r="F8" s="358" t="s">
        <v>314</v>
      </c>
      <c r="G8" s="358" t="s">
        <v>315</v>
      </c>
      <c r="H8" s="359"/>
      <c r="I8" s="359"/>
      <c r="J8" s="359"/>
    </row>
    <row r="9" spans="1:10" s="108" customFormat="1" ht="13.5" customHeight="1">
      <c r="A9" s="368"/>
      <c r="B9" s="373"/>
      <c r="C9" s="374"/>
      <c r="D9" s="360"/>
      <c r="E9" s="360"/>
      <c r="F9" s="361"/>
      <c r="G9" s="361"/>
      <c r="H9" s="360"/>
      <c r="I9" s="360"/>
      <c r="J9" s="360"/>
    </row>
    <row r="10" spans="1:10" ht="12.75">
      <c r="A10" s="116">
        <v>1</v>
      </c>
      <c r="B10" s="362">
        <v>2</v>
      </c>
      <c r="C10" s="363"/>
      <c r="D10" s="109">
        <v>3</v>
      </c>
      <c r="E10" s="109">
        <v>4</v>
      </c>
      <c r="F10" s="109">
        <v>5</v>
      </c>
      <c r="G10" s="109">
        <v>6</v>
      </c>
      <c r="H10" s="109" t="s">
        <v>316</v>
      </c>
      <c r="I10" s="109">
        <v>8</v>
      </c>
      <c r="J10" s="109">
        <v>9</v>
      </c>
    </row>
    <row r="11" spans="1:10" ht="21" customHeight="1">
      <c r="A11" s="117" t="s">
        <v>317</v>
      </c>
      <c r="B11" s="357" t="s">
        <v>318</v>
      </c>
      <c r="C11" s="357"/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</row>
    <row r="12" spans="1:10" ht="12.75">
      <c r="A12" s="118" t="s">
        <v>319</v>
      </c>
      <c r="B12" s="354" t="s">
        <v>320</v>
      </c>
      <c r="C12" s="354"/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</row>
    <row r="13" spans="1:10" s="107" customFormat="1" ht="12.75">
      <c r="A13" s="119" t="s">
        <v>321</v>
      </c>
      <c r="B13" s="353" t="s">
        <v>322</v>
      </c>
      <c r="C13" s="353"/>
      <c r="D13" s="111">
        <v>204</v>
      </c>
      <c r="E13" s="111">
        <v>1155</v>
      </c>
      <c r="F13" s="111">
        <v>1200</v>
      </c>
      <c r="G13" s="111">
        <v>0</v>
      </c>
      <c r="H13" s="111">
        <v>159</v>
      </c>
      <c r="I13" s="111">
        <v>145</v>
      </c>
      <c r="J13" s="111">
        <v>140</v>
      </c>
    </row>
    <row r="14" spans="1:10" ht="12.75">
      <c r="A14" s="118" t="s">
        <v>323</v>
      </c>
      <c r="B14" s="354" t="s">
        <v>320</v>
      </c>
      <c r="C14" s="354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</row>
    <row r="15" spans="1:10" s="107" customFormat="1" ht="12.75">
      <c r="A15" s="119" t="s">
        <v>324</v>
      </c>
      <c r="B15" s="353" t="s">
        <v>325</v>
      </c>
      <c r="C15" s="353"/>
      <c r="D15" s="111">
        <v>10</v>
      </c>
      <c r="E15" s="111">
        <v>60</v>
      </c>
      <c r="F15" s="111">
        <v>65</v>
      </c>
      <c r="G15" s="111">
        <v>0</v>
      </c>
      <c r="H15" s="111">
        <v>5</v>
      </c>
      <c r="I15" s="111">
        <v>5</v>
      </c>
      <c r="J15" s="111">
        <v>4</v>
      </c>
    </row>
    <row r="16" spans="1:10" ht="12.75">
      <c r="A16" s="118" t="s">
        <v>326</v>
      </c>
      <c r="B16" s="354" t="s">
        <v>320</v>
      </c>
      <c r="C16" s="354"/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</row>
    <row r="17" spans="1:10" s="107" customFormat="1" ht="12.75">
      <c r="A17" s="119" t="s">
        <v>327</v>
      </c>
      <c r="B17" s="353" t="s">
        <v>328</v>
      </c>
      <c r="C17" s="353"/>
      <c r="D17" s="111">
        <v>56</v>
      </c>
      <c r="E17" s="111">
        <v>307</v>
      </c>
      <c r="F17" s="111">
        <v>325</v>
      </c>
      <c r="G17" s="111">
        <v>0</v>
      </c>
      <c r="H17" s="111">
        <v>38</v>
      </c>
      <c r="I17" s="111">
        <v>35</v>
      </c>
      <c r="J17" s="111">
        <v>32</v>
      </c>
    </row>
    <row r="18" spans="1:10" ht="12.75">
      <c r="A18" s="118" t="s">
        <v>329</v>
      </c>
      <c r="B18" s="354" t="s">
        <v>320</v>
      </c>
      <c r="C18" s="354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</row>
    <row r="19" spans="1:10" s="107" customFormat="1" ht="12.75">
      <c r="A19" s="119" t="s">
        <v>330</v>
      </c>
      <c r="B19" s="353" t="s">
        <v>331</v>
      </c>
      <c r="C19" s="353"/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</row>
    <row r="20" spans="1:10" ht="12.75" customHeight="1">
      <c r="A20" s="118" t="s">
        <v>332</v>
      </c>
      <c r="B20" s="354" t="s">
        <v>320</v>
      </c>
      <c r="C20" s="354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</row>
    <row r="21" spans="1:10" s="107" customFormat="1" ht="12.75" customHeight="1">
      <c r="A21" s="119">
        <v>6</v>
      </c>
      <c r="B21" s="355" t="s">
        <v>333</v>
      </c>
      <c r="C21" s="35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</row>
    <row r="22" spans="1:10" s="120" customFormat="1" ht="16.5" customHeight="1">
      <c r="A22" s="121" t="s">
        <v>334</v>
      </c>
      <c r="B22" s="354" t="s">
        <v>320</v>
      </c>
      <c r="C22" s="354"/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</row>
    <row r="23" spans="1:10" s="153" customFormat="1" ht="37.5" customHeight="1">
      <c r="A23" s="151"/>
      <c r="B23" s="350" t="s">
        <v>335</v>
      </c>
      <c r="C23" s="351"/>
      <c r="D23" s="152">
        <f>D11+D13+D15+D17+D19+D21</f>
        <v>270</v>
      </c>
      <c r="E23" s="152">
        <f aca="true" t="shared" si="0" ref="E23:J24">E11+E13+E15+E17+E19+E21</f>
        <v>1522</v>
      </c>
      <c r="F23" s="152">
        <f t="shared" si="0"/>
        <v>1590</v>
      </c>
      <c r="G23" s="152">
        <f t="shared" si="0"/>
        <v>0</v>
      </c>
      <c r="H23" s="152">
        <f t="shared" si="0"/>
        <v>202</v>
      </c>
      <c r="I23" s="152">
        <f t="shared" si="0"/>
        <v>185</v>
      </c>
      <c r="J23" s="152">
        <f t="shared" si="0"/>
        <v>176</v>
      </c>
    </row>
    <row r="24" spans="1:10" s="153" customFormat="1" ht="44.25" customHeight="1">
      <c r="A24" s="151"/>
      <c r="B24" s="352" t="s">
        <v>336</v>
      </c>
      <c r="C24" s="352"/>
      <c r="D24" s="152">
        <f>D12+D14+D16+D18+D20+D22</f>
        <v>0</v>
      </c>
      <c r="E24" s="152">
        <f t="shared" si="0"/>
        <v>0</v>
      </c>
      <c r="F24" s="152">
        <f t="shared" si="0"/>
        <v>0</v>
      </c>
      <c r="G24" s="152">
        <f t="shared" si="0"/>
        <v>0</v>
      </c>
      <c r="H24" s="152">
        <f t="shared" si="0"/>
        <v>0</v>
      </c>
      <c r="I24" s="152">
        <f t="shared" si="0"/>
        <v>0</v>
      </c>
      <c r="J24" s="152">
        <f t="shared" si="0"/>
        <v>0</v>
      </c>
    </row>
  </sheetData>
  <mergeCells count="26">
    <mergeCell ref="A5:D5"/>
    <mergeCell ref="A7:A9"/>
    <mergeCell ref="B7:C9"/>
    <mergeCell ref="D7:D9"/>
    <mergeCell ref="J7:J9"/>
    <mergeCell ref="F8:F9"/>
    <mergeCell ref="G8:G9"/>
    <mergeCell ref="B10:C10"/>
    <mergeCell ref="E7:E9"/>
    <mergeCell ref="F7:G7"/>
    <mergeCell ref="H7:H9"/>
    <mergeCell ref="I7:I9"/>
    <mergeCell ref="B11:C11"/>
    <mergeCell ref="B12:C12"/>
    <mergeCell ref="B13:C13"/>
    <mergeCell ref="B14:C14"/>
    <mergeCell ref="B15:C15"/>
    <mergeCell ref="B16:C16"/>
    <mergeCell ref="B17:C17"/>
    <mergeCell ref="B18:C18"/>
    <mergeCell ref="B23:C23"/>
    <mergeCell ref="B24:C24"/>
    <mergeCell ref="B19:C19"/>
    <mergeCell ref="B20:C20"/>
    <mergeCell ref="B21:C21"/>
    <mergeCell ref="B22:C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28"/>
  <sheetViews>
    <sheetView workbookViewId="0" topLeftCell="A1">
      <selection activeCell="C2" sqref="C2"/>
    </sheetView>
  </sheetViews>
  <sheetFormatPr defaultColWidth="9.140625" defaultRowHeight="12.75"/>
  <cols>
    <col min="1" max="1" width="6.140625" style="115" customWidth="1"/>
    <col min="2" max="2" width="10.7109375" style="0" customWidth="1"/>
    <col min="3" max="3" width="19.8515625" style="0" customWidth="1"/>
    <col min="4" max="4" width="11.57421875" style="0" customWidth="1"/>
    <col min="5" max="5" width="9.8515625" style="0" customWidth="1"/>
    <col min="6" max="6" width="10.00390625" style="0" customWidth="1"/>
    <col min="7" max="7" width="9.00390625" style="0" customWidth="1"/>
    <col min="8" max="8" width="9.28125" style="0" customWidth="1"/>
    <col min="9" max="12" width="5.7109375" style="0" customWidth="1"/>
    <col min="13" max="13" width="6.7109375" style="0" customWidth="1"/>
  </cols>
  <sheetData>
    <row r="3" spans="1:10" ht="12.75">
      <c r="A3" s="5"/>
      <c r="B3" s="5"/>
      <c r="I3" s="4" t="s">
        <v>337</v>
      </c>
      <c r="J3" s="5"/>
    </row>
    <row r="5" spans="1:4" ht="12.75">
      <c r="A5" s="340" t="s">
        <v>338</v>
      </c>
      <c r="B5" s="340"/>
      <c r="C5" s="340"/>
      <c r="D5" s="340"/>
    </row>
    <row r="6" spans="1:13" ht="12.75">
      <c r="A6" s="106"/>
      <c r="B6" s="106"/>
      <c r="C6" s="106"/>
      <c r="D6" s="106"/>
      <c r="M6" s="107" t="s">
        <v>86</v>
      </c>
    </row>
    <row r="7" spans="1:13" ht="12.75">
      <c r="A7" s="343" t="s">
        <v>285</v>
      </c>
      <c r="B7" s="391" t="s">
        <v>339</v>
      </c>
      <c r="C7" s="392"/>
      <c r="D7" s="397" t="s">
        <v>340</v>
      </c>
      <c r="E7" s="112"/>
      <c r="F7" s="386" t="s">
        <v>341</v>
      </c>
      <c r="G7" s="387"/>
      <c r="H7" s="388"/>
      <c r="I7" s="381" t="s">
        <v>342</v>
      </c>
      <c r="J7" s="381" t="s">
        <v>343</v>
      </c>
      <c r="K7" s="381" t="s">
        <v>344</v>
      </c>
      <c r="L7" s="381" t="s">
        <v>345</v>
      </c>
      <c r="M7" s="381" t="s">
        <v>346</v>
      </c>
    </row>
    <row r="8" spans="1:13" ht="12.75">
      <c r="A8" s="389"/>
      <c r="B8" s="393"/>
      <c r="C8" s="394"/>
      <c r="D8" s="398"/>
      <c r="E8" s="384" t="s">
        <v>347</v>
      </c>
      <c r="F8" s="386" t="s">
        <v>348</v>
      </c>
      <c r="G8" s="387"/>
      <c r="H8" s="388"/>
      <c r="I8" s="382"/>
      <c r="J8" s="382"/>
      <c r="K8" s="382"/>
      <c r="L8" s="382"/>
      <c r="M8" s="382"/>
    </row>
    <row r="9" spans="1:13" ht="25.5" customHeight="1">
      <c r="A9" s="390"/>
      <c r="B9" s="395"/>
      <c r="C9" s="396"/>
      <c r="D9" s="399"/>
      <c r="E9" s="385"/>
      <c r="F9" s="123" t="s">
        <v>349</v>
      </c>
      <c r="G9" s="124" t="s">
        <v>350</v>
      </c>
      <c r="H9" s="124" t="s">
        <v>351</v>
      </c>
      <c r="I9" s="383"/>
      <c r="J9" s="383"/>
      <c r="K9" s="383"/>
      <c r="L9" s="383"/>
      <c r="M9" s="383"/>
    </row>
    <row r="10" spans="1:13" ht="12.75">
      <c r="A10" s="116">
        <v>1</v>
      </c>
      <c r="B10" s="338">
        <v>2</v>
      </c>
      <c r="C10" s="338"/>
      <c r="D10" s="109">
        <v>3</v>
      </c>
      <c r="E10" s="109" t="s">
        <v>352</v>
      </c>
      <c r="F10" s="109">
        <v>5</v>
      </c>
      <c r="G10" s="109">
        <v>6</v>
      </c>
      <c r="H10" s="109">
        <v>7</v>
      </c>
      <c r="I10" s="109" t="s">
        <v>353</v>
      </c>
      <c r="J10" s="109">
        <v>9</v>
      </c>
      <c r="K10" s="109" t="s">
        <v>354</v>
      </c>
      <c r="L10" s="109">
        <v>11</v>
      </c>
      <c r="M10" s="109" t="s">
        <v>355</v>
      </c>
    </row>
    <row r="11" spans="1:13" s="107" customFormat="1" ht="24" customHeight="1">
      <c r="A11" s="117" t="s">
        <v>317</v>
      </c>
      <c r="B11" s="357" t="s">
        <v>356</v>
      </c>
      <c r="C11" s="357"/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</row>
    <row r="12" spans="1:13" ht="12.75">
      <c r="A12" s="118" t="s">
        <v>319</v>
      </c>
      <c r="B12" s="354" t="s">
        <v>357</v>
      </c>
      <c r="C12" s="354"/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</row>
    <row r="13" spans="1:13" s="120" customFormat="1" ht="12.75">
      <c r="A13" s="125" t="s">
        <v>358</v>
      </c>
      <c r="B13" s="354" t="s">
        <v>359</v>
      </c>
      <c r="C13" s="354"/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</row>
    <row r="14" spans="1:13" ht="12.75">
      <c r="A14" s="118" t="s">
        <v>323</v>
      </c>
      <c r="B14" s="354" t="s">
        <v>320</v>
      </c>
      <c r="C14" s="354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</row>
    <row r="15" spans="1:13" s="153" customFormat="1" ht="38.25" customHeight="1">
      <c r="A15" s="154" t="s">
        <v>321</v>
      </c>
      <c r="B15" s="380" t="s">
        <v>360</v>
      </c>
      <c r="C15" s="380"/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</row>
    <row r="16" spans="1:13" ht="12.75">
      <c r="A16" s="118" t="s">
        <v>361</v>
      </c>
      <c r="B16" s="354" t="s">
        <v>362</v>
      </c>
      <c r="C16" s="354"/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</row>
    <row r="17" spans="1:13" s="107" customFormat="1" ht="12.75">
      <c r="A17" s="118" t="s">
        <v>363</v>
      </c>
      <c r="B17" s="354" t="s">
        <v>364</v>
      </c>
      <c r="C17" s="354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</row>
    <row r="18" spans="1:3" s="126" customFormat="1" ht="12.75">
      <c r="A18" s="127"/>
      <c r="B18" s="375"/>
      <c r="C18" s="375"/>
    </row>
    <row r="19" spans="1:3" s="128" customFormat="1" ht="12.75">
      <c r="A19" s="129"/>
      <c r="B19" s="378"/>
      <c r="C19" s="378"/>
    </row>
    <row r="20" spans="1:3" s="126" customFormat="1" ht="12.75" customHeight="1">
      <c r="A20" s="127"/>
      <c r="B20" s="375"/>
      <c r="C20" s="375"/>
    </row>
    <row r="21" spans="1:3" s="128" customFormat="1" ht="12.75">
      <c r="A21" s="129"/>
      <c r="B21" s="379"/>
      <c r="C21" s="379"/>
    </row>
    <row r="22" spans="1:3" s="130" customFormat="1" ht="16.5" customHeight="1">
      <c r="A22" s="131"/>
      <c r="B22" s="375"/>
      <c r="C22" s="375"/>
    </row>
    <row r="23" spans="1:3" s="128" customFormat="1" ht="44.25" customHeight="1">
      <c r="A23" s="129"/>
      <c r="B23" s="376"/>
      <c r="C23" s="376"/>
    </row>
    <row r="24" spans="1:3" s="126" customFormat="1" ht="44.25" customHeight="1">
      <c r="A24" s="127"/>
      <c r="B24" s="377"/>
      <c r="C24" s="377"/>
    </row>
    <row r="25" s="126" customFormat="1" ht="12.75">
      <c r="A25" s="127"/>
    </row>
    <row r="26" s="126" customFormat="1" ht="12.75">
      <c r="A26" s="127"/>
    </row>
    <row r="27" s="126" customFormat="1" ht="12.75">
      <c r="A27" s="127"/>
    </row>
    <row r="28" s="126" customFormat="1" ht="12.75">
      <c r="A28" s="127"/>
    </row>
  </sheetData>
  <mergeCells count="27">
    <mergeCell ref="A5:D5"/>
    <mergeCell ref="A7:A9"/>
    <mergeCell ref="B7:C9"/>
    <mergeCell ref="D7:D9"/>
    <mergeCell ref="L7:L9"/>
    <mergeCell ref="M7:M9"/>
    <mergeCell ref="E8:E9"/>
    <mergeCell ref="F8:H8"/>
    <mergeCell ref="F7:H7"/>
    <mergeCell ref="I7:I9"/>
    <mergeCell ref="J7:J9"/>
    <mergeCell ref="K7:K9"/>
    <mergeCell ref="B10:C10"/>
    <mergeCell ref="B11:C11"/>
    <mergeCell ref="B12:C12"/>
    <mergeCell ref="B13:C13"/>
    <mergeCell ref="B14:C14"/>
    <mergeCell ref="B15:C15"/>
    <mergeCell ref="B16:C16"/>
    <mergeCell ref="B17:C17"/>
    <mergeCell ref="B22:C22"/>
    <mergeCell ref="B23:C23"/>
    <mergeCell ref="B24:C24"/>
    <mergeCell ref="B18:C18"/>
    <mergeCell ref="B19:C19"/>
    <mergeCell ref="B20:C20"/>
    <mergeCell ref="B21:C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U25"/>
  <sheetViews>
    <sheetView workbookViewId="0" topLeftCell="A1">
      <selection activeCell="B2" sqref="B2"/>
    </sheetView>
  </sheetViews>
  <sheetFormatPr defaultColWidth="9.140625" defaultRowHeight="12.75"/>
  <cols>
    <col min="1" max="1" width="8.421875" style="0" customWidth="1"/>
    <col min="2" max="2" width="17.140625" style="0" customWidth="1"/>
    <col min="3" max="3" width="11.140625" style="0" customWidth="1"/>
    <col min="4" max="4" width="4.57421875" style="0" customWidth="1"/>
    <col min="5" max="5" width="4.00390625" style="0" customWidth="1"/>
    <col min="6" max="6" width="3.57421875" style="0" customWidth="1"/>
    <col min="7" max="7" width="3.421875" style="0" customWidth="1"/>
    <col min="8" max="8" width="4.140625" style="0" customWidth="1"/>
    <col min="9" max="9" width="3.7109375" style="0" customWidth="1"/>
    <col min="10" max="10" width="7.00390625" style="0" bestFit="1" customWidth="1"/>
    <col min="11" max="11" width="6.57421875" style="0" customWidth="1"/>
    <col min="12" max="12" width="5.00390625" style="0" customWidth="1"/>
    <col min="13" max="13" width="4.57421875" style="0" customWidth="1"/>
    <col min="14" max="14" width="4.140625" style="0" customWidth="1"/>
    <col min="15" max="15" width="8.00390625" style="0" bestFit="1" customWidth="1"/>
    <col min="16" max="16" width="7.57421875" style="0" customWidth="1"/>
    <col min="17" max="17" width="5.421875" style="0" customWidth="1"/>
    <col min="18" max="19" width="9.140625" style="0" hidden="1" customWidth="1"/>
    <col min="20" max="20" width="5.00390625" style="0" customWidth="1"/>
    <col min="21" max="21" width="4.8515625" style="0" customWidth="1"/>
  </cols>
  <sheetData>
    <row r="3" spans="1:14" ht="12.75">
      <c r="A3" s="5"/>
      <c r="B3" s="5"/>
      <c r="M3" s="4" t="s">
        <v>365</v>
      </c>
      <c r="N3" s="5"/>
    </row>
    <row r="4" ht="12.75">
      <c r="A4" s="115"/>
    </row>
    <row r="5" spans="1:6" ht="12.75">
      <c r="A5" s="132" t="s">
        <v>366</v>
      </c>
      <c r="B5" s="132"/>
      <c r="C5" s="132"/>
      <c r="D5" s="132"/>
      <c r="E5" s="133"/>
      <c r="F5" s="133"/>
    </row>
    <row r="7" spans="20:21" ht="12.75">
      <c r="T7" s="134" t="s">
        <v>86</v>
      </c>
      <c r="U7" s="134"/>
    </row>
    <row r="8" spans="1:21" ht="63" customHeight="1">
      <c r="A8" s="397" t="s">
        <v>285</v>
      </c>
      <c r="B8" s="397" t="s">
        <v>367</v>
      </c>
      <c r="C8" s="397" t="s">
        <v>368</v>
      </c>
      <c r="D8" s="406" t="s">
        <v>476</v>
      </c>
      <c r="E8" s="407"/>
      <c r="F8" s="407"/>
      <c r="G8" s="407"/>
      <c r="H8" s="407"/>
      <c r="I8" s="323"/>
      <c r="J8" s="400" t="s">
        <v>480</v>
      </c>
      <c r="K8" s="401"/>
      <c r="L8" s="401"/>
      <c r="M8" s="401"/>
      <c r="N8" s="402"/>
      <c r="O8" s="403" t="s">
        <v>477</v>
      </c>
      <c r="P8" s="403"/>
      <c r="Q8" s="403"/>
      <c r="R8" s="403"/>
      <c r="S8" s="403"/>
      <c r="T8" s="354"/>
      <c r="U8" s="354"/>
    </row>
    <row r="9" spans="1:21" ht="12.75">
      <c r="A9" s="342"/>
      <c r="B9" s="342"/>
      <c r="C9" s="342"/>
      <c r="D9" s="110" t="s">
        <v>342</v>
      </c>
      <c r="E9" s="110" t="s">
        <v>343</v>
      </c>
      <c r="F9" s="110" t="s">
        <v>344</v>
      </c>
      <c r="G9" s="110" t="s">
        <v>345</v>
      </c>
      <c r="H9" s="110" t="s">
        <v>346</v>
      </c>
      <c r="I9" s="110" t="s">
        <v>369</v>
      </c>
      <c r="J9" s="110" t="s">
        <v>343</v>
      </c>
      <c r="K9" s="110" t="s">
        <v>344</v>
      </c>
      <c r="L9" s="110" t="s">
        <v>345</v>
      </c>
      <c r="M9" s="110" t="s">
        <v>346</v>
      </c>
      <c r="N9" s="110" t="s">
        <v>369</v>
      </c>
      <c r="O9" s="110" t="s">
        <v>343</v>
      </c>
      <c r="P9" s="110" t="s">
        <v>344</v>
      </c>
      <c r="Q9" s="110" t="s">
        <v>345</v>
      </c>
      <c r="R9" s="105"/>
      <c r="S9" s="105"/>
      <c r="T9" s="135" t="s">
        <v>346</v>
      </c>
      <c r="U9" s="135" t="s">
        <v>369</v>
      </c>
    </row>
    <row r="10" spans="1:21" s="136" customFormat="1" ht="11.25">
      <c r="A10" s="137">
        <v>0</v>
      </c>
      <c r="B10" s="137">
        <v>1</v>
      </c>
      <c r="C10" s="137">
        <v>2</v>
      </c>
      <c r="D10" s="137">
        <v>3</v>
      </c>
      <c r="E10" s="137">
        <v>4</v>
      </c>
      <c r="F10" s="137">
        <v>5</v>
      </c>
      <c r="G10" s="137">
        <v>6</v>
      </c>
      <c r="H10" s="137">
        <v>7</v>
      </c>
      <c r="I10" s="137">
        <v>8</v>
      </c>
      <c r="J10" s="137">
        <v>9</v>
      </c>
      <c r="K10" s="137">
        <v>10</v>
      </c>
      <c r="L10" s="137">
        <v>11</v>
      </c>
      <c r="M10" s="137">
        <v>12</v>
      </c>
      <c r="N10" s="137">
        <v>13</v>
      </c>
      <c r="O10" s="137">
        <v>14</v>
      </c>
      <c r="P10" s="137">
        <v>15</v>
      </c>
      <c r="Q10" s="137">
        <v>16</v>
      </c>
      <c r="T10" s="137">
        <v>17</v>
      </c>
      <c r="U10" s="137">
        <v>18</v>
      </c>
    </row>
    <row r="11" spans="1:21" ht="12.75">
      <c r="A11" s="404" t="s">
        <v>370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325"/>
    </row>
    <row r="12" spans="1:21" ht="12.75">
      <c r="A12" s="138" t="s">
        <v>51</v>
      </c>
      <c r="B12" s="112"/>
      <c r="C12" s="112"/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</row>
    <row r="13" spans="1:21" ht="12.75">
      <c r="A13" s="138" t="s">
        <v>95</v>
      </c>
      <c r="B13" s="112"/>
      <c r="C13" s="112"/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</row>
    <row r="14" spans="1:21" ht="12.75">
      <c r="A14" s="138" t="s">
        <v>59</v>
      </c>
      <c r="B14" s="112"/>
      <c r="C14" s="112"/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</row>
    <row r="15" spans="1:21" ht="12.75">
      <c r="A15" s="138" t="s">
        <v>138</v>
      </c>
      <c r="B15" s="112"/>
      <c r="C15" s="112"/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</row>
    <row r="16" spans="1:21" ht="12.75">
      <c r="A16" s="138" t="s">
        <v>140</v>
      </c>
      <c r="B16" s="112"/>
      <c r="C16" s="112"/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</row>
    <row r="17" spans="1:21" s="107" customFormat="1" ht="12.75">
      <c r="A17" s="139" t="s">
        <v>371</v>
      </c>
      <c r="B17" s="111"/>
      <c r="C17" s="111"/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</row>
    <row r="18" spans="1:21" ht="12.75">
      <c r="A18" s="404" t="s">
        <v>372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325"/>
    </row>
    <row r="19" spans="1:21" ht="12.75">
      <c r="A19" s="138" t="s">
        <v>51</v>
      </c>
      <c r="B19" s="104">
        <v>7165</v>
      </c>
      <c r="C19" s="104">
        <v>10</v>
      </c>
      <c r="D19" s="104">
        <v>0</v>
      </c>
      <c r="E19" s="104">
        <f>F19+G19+H19+I19</f>
        <v>0</v>
      </c>
      <c r="F19" s="104"/>
      <c r="G19" s="104"/>
      <c r="H19" s="104"/>
      <c r="I19" s="104"/>
      <c r="J19" s="104">
        <f>K19+L19+M19</f>
        <v>2050.1</v>
      </c>
      <c r="K19" s="104">
        <v>1079</v>
      </c>
      <c r="L19" s="104">
        <v>971.1</v>
      </c>
      <c r="M19" s="104">
        <v>0</v>
      </c>
      <c r="N19" s="104">
        <v>0</v>
      </c>
      <c r="O19" s="104">
        <f>P19+Q19</f>
        <v>3438.85</v>
      </c>
      <c r="P19" s="104">
        <v>1691.5</v>
      </c>
      <c r="Q19" s="104">
        <v>1747.35</v>
      </c>
      <c r="R19" s="104"/>
      <c r="S19" s="104"/>
      <c r="T19" s="104">
        <v>0</v>
      </c>
      <c r="U19" s="104">
        <v>0</v>
      </c>
    </row>
    <row r="20" spans="1:21" ht="12.75">
      <c r="A20" s="138" t="s">
        <v>95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ht="12.75">
      <c r="A21" s="138" t="s">
        <v>59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</row>
    <row r="22" spans="1:21" ht="12.75">
      <c r="A22" s="138" t="s">
        <v>138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</row>
    <row r="23" spans="1:21" ht="12.75">
      <c r="A23" s="138" t="s">
        <v>140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</row>
    <row r="24" spans="1:21" s="107" customFormat="1" ht="12.75">
      <c r="A24" s="139" t="s">
        <v>373</v>
      </c>
      <c r="B24" s="181">
        <f>B19+B20+B21+B22+B23</f>
        <v>7165</v>
      </c>
      <c r="C24" s="181">
        <f aca="true" t="shared" si="0" ref="C24:U24">C19+C20+C21+C22+C23</f>
        <v>10</v>
      </c>
      <c r="D24" s="181">
        <f t="shared" si="0"/>
        <v>0</v>
      </c>
      <c r="E24" s="181">
        <f t="shared" si="0"/>
        <v>0</v>
      </c>
      <c r="F24" s="181">
        <f t="shared" si="0"/>
        <v>0</v>
      </c>
      <c r="G24" s="181">
        <f t="shared" si="0"/>
        <v>0</v>
      </c>
      <c r="H24" s="181">
        <f t="shared" si="0"/>
        <v>0</v>
      </c>
      <c r="I24" s="181">
        <f t="shared" si="0"/>
        <v>0</v>
      </c>
      <c r="J24" s="181">
        <f t="shared" si="0"/>
        <v>2050.1</v>
      </c>
      <c r="K24" s="181">
        <f t="shared" si="0"/>
        <v>1079</v>
      </c>
      <c r="L24" s="181">
        <f t="shared" si="0"/>
        <v>971.1</v>
      </c>
      <c r="M24" s="181">
        <f t="shared" si="0"/>
        <v>0</v>
      </c>
      <c r="N24" s="181">
        <f t="shared" si="0"/>
        <v>0</v>
      </c>
      <c r="O24" s="181">
        <f t="shared" si="0"/>
        <v>3438.85</v>
      </c>
      <c r="P24" s="181">
        <f t="shared" si="0"/>
        <v>1691.5</v>
      </c>
      <c r="Q24" s="181">
        <f t="shared" si="0"/>
        <v>1747.35</v>
      </c>
      <c r="R24" s="181">
        <f t="shared" si="0"/>
        <v>0</v>
      </c>
      <c r="S24" s="181">
        <f t="shared" si="0"/>
        <v>0</v>
      </c>
      <c r="T24" s="181">
        <f t="shared" si="0"/>
        <v>0</v>
      </c>
      <c r="U24" s="181">
        <f t="shared" si="0"/>
        <v>0</v>
      </c>
    </row>
    <row r="25" spans="1:21" ht="38.25">
      <c r="A25" s="140" t="s">
        <v>374</v>
      </c>
      <c r="B25" s="181">
        <f>B24+B17</f>
        <v>7165</v>
      </c>
      <c r="C25" s="181">
        <f aca="true" t="shared" si="1" ref="C25:U25">C24+C17</f>
        <v>10</v>
      </c>
      <c r="D25" s="181">
        <f t="shared" si="1"/>
        <v>0</v>
      </c>
      <c r="E25" s="181">
        <f t="shared" si="1"/>
        <v>0</v>
      </c>
      <c r="F25" s="181">
        <f t="shared" si="1"/>
        <v>0</v>
      </c>
      <c r="G25" s="181">
        <f t="shared" si="1"/>
        <v>0</v>
      </c>
      <c r="H25" s="181">
        <f t="shared" si="1"/>
        <v>0</v>
      </c>
      <c r="I25" s="181">
        <f t="shared" si="1"/>
        <v>0</v>
      </c>
      <c r="J25" s="181">
        <f t="shared" si="1"/>
        <v>2050.1</v>
      </c>
      <c r="K25" s="181">
        <f t="shared" si="1"/>
        <v>1079</v>
      </c>
      <c r="L25" s="181">
        <f t="shared" si="1"/>
        <v>971.1</v>
      </c>
      <c r="M25" s="181">
        <f t="shared" si="1"/>
        <v>0</v>
      </c>
      <c r="N25" s="181">
        <f t="shared" si="1"/>
        <v>0</v>
      </c>
      <c r="O25" s="181">
        <f t="shared" si="1"/>
        <v>3438.85</v>
      </c>
      <c r="P25" s="181">
        <f t="shared" si="1"/>
        <v>1691.5</v>
      </c>
      <c r="Q25" s="181">
        <f t="shared" si="1"/>
        <v>1747.35</v>
      </c>
      <c r="R25" s="181">
        <f t="shared" si="1"/>
        <v>0</v>
      </c>
      <c r="S25" s="181">
        <f t="shared" si="1"/>
        <v>0</v>
      </c>
      <c r="T25" s="181">
        <f t="shared" si="1"/>
        <v>0</v>
      </c>
      <c r="U25" s="181">
        <f t="shared" si="1"/>
        <v>0</v>
      </c>
    </row>
  </sheetData>
  <mergeCells count="8">
    <mergeCell ref="J8:N8"/>
    <mergeCell ref="O8:U8"/>
    <mergeCell ref="A11:U11"/>
    <mergeCell ref="A18:U18"/>
    <mergeCell ref="A8:A9"/>
    <mergeCell ref="B8:B9"/>
    <mergeCell ref="C8:C9"/>
    <mergeCell ref="D8:I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1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7.00390625" style="0" customWidth="1"/>
    <col min="2" max="2" width="44.7109375" style="0" customWidth="1"/>
    <col min="3" max="3" width="13.140625" style="0" customWidth="1"/>
    <col min="4" max="4" width="6.140625" style="0" customWidth="1"/>
    <col min="5" max="5" width="8.28125" style="0" customWidth="1"/>
    <col min="6" max="6" width="5.140625" style="0" customWidth="1"/>
    <col min="7" max="7" width="7.57421875" style="0" customWidth="1"/>
    <col min="8" max="8" width="5.140625" style="0" customWidth="1"/>
    <col min="9" max="9" width="7.8515625" style="0" customWidth="1"/>
    <col min="10" max="10" width="6.00390625" style="0" customWidth="1"/>
    <col min="11" max="11" width="7.57421875" style="0" customWidth="1"/>
  </cols>
  <sheetData>
    <row r="3" spans="2:10" ht="12.75">
      <c r="B3" s="4"/>
      <c r="C3" s="5"/>
      <c r="G3" s="4" t="s">
        <v>375</v>
      </c>
      <c r="I3" s="4"/>
      <c r="J3" s="5"/>
    </row>
    <row r="4" ht="12.75">
      <c r="B4" s="115"/>
    </row>
    <row r="5" spans="2:7" ht="12.75">
      <c r="B5" s="132" t="s">
        <v>376</v>
      </c>
      <c r="C5" s="132"/>
      <c r="D5" s="132"/>
      <c r="E5" s="132"/>
      <c r="F5" s="133"/>
      <c r="G5" s="133"/>
    </row>
    <row r="6" ht="12.75">
      <c r="K6" s="107" t="s">
        <v>86</v>
      </c>
    </row>
    <row r="7" spans="1:11" ht="39.75" customHeight="1">
      <c r="A7" s="419" t="s">
        <v>377</v>
      </c>
      <c r="B7" s="381" t="s">
        <v>378</v>
      </c>
      <c r="C7" s="381" t="s">
        <v>379</v>
      </c>
      <c r="D7" s="400">
        <v>2012</v>
      </c>
      <c r="E7" s="402"/>
      <c r="F7" s="400">
        <v>2013</v>
      </c>
      <c r="G7" s="402"/>
      <c r="H7" s="400">
        <v>2014</v>
      </c>
      <c r="I7" s="402"/>
      <c r="J7" s="400">
        <v>2015</v>
      </c>
      <c r="K7" s="402"/>
    </row>
    <row r="8" spans="1:11" ht="32.25" customHeight="1">
      <c r="A8" s="420"/>
      <c r="B8" s="417"/>
      <c r="C8" s="417"/>
      <c r="D8" s="408" t="s">
        <v>380</v>
      </c>
      <c r="E8" s="409"/>
      <c r="F8" s="408" t="s">
        <v>573</v>
      </c>
      <c r="G8" s="409"/>
      <c r="H8" s="408" t="s">
        <v>573</v>
      </c>
      <c r="I8" s="409"/>
      <c r="J8" s="406" t="s">
        <v>574</v>
      </c>
      <c r="K8" s="486"/>
    </row>
    <row r="9" spans="1:11" ht="12.75">
      <c r="A9" s="421"/>
      <c r="B9" s="418"/>
      <c r="C9" s="418"/>
      <c r="D9" s="110" t="s">
        <v>342</v>
      </c>
      <c r="E9" s="110" t="s">
        <v>343</v>
      </c>
      <c r="F9" s="110" t="s">
        <v>342</v>
      </c>
      <c r="G9" s="110" t="s">
        <v>343</v>
      </c>
      <c r="H9" s="110" t="s">
        <v>342</v>
      </c>
      <c r="I9" s="110" t="s">
        <v>343</v>
      </c>
      <c r="J9" s="110" t="s">
        <v>342</v>
      </c>
      <c r="K9" s="110" t="s">
        <v>343</v>
      </c>
    </row>
    <row r="10" spans="1:11" s="108" customFormat="1" ht="11.25">
      <c r="A10" s="109">
        <v>0</v>
      </c>
      <c r="B10" s="109">
        <v>1</v>
      </c>
      <c r="C10" s="109">
        <v>2</v>
      </c>
      <c r="D10" s="109">
        <v>3</v>
      </c>
      <c r="E10" s="109">
        <v>4</v>
      </c>
      <c r="F10" s="109">
        <v>5</v>
      </c>
      <c r="G10" s="109">
        <v>6</v>
      </c>
      <c r="H10" s="109">
        <v>7</v>
      </c>
      <c r="I10" s="109">
        <v>8</v>
      </c>
      <c r="J10" s="109">
        <v>9</v>
      </c>
      <c r="K10" s="109">
        <v>10</v>
      </c>
    </row>
    <row r="11" spans="1:11" ht="37.5" customHeight="1">
      <c r="A11" s="112"/>
      <c r="B11" s="141" t="s">
        <v>376</v>
      </c>
      <c r="C11" s="112"/>
      <c r="D11" s="113">
        <v>0</v>
      </c>
      <c r="E11" s="113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</row>
    <row r="12" spans="1:11" ht="12.75">
      <c r="A12" s="112">
        <v>1</v>
      </c>
      <c r="B12" s="112" t="s">
        <v>478</v>
      </c>
      <c r="C12" s="112"/>
      <c r="D12" s="113">
        <v>44</v>
      </c>
      <c r="E12" s="113">
        <v>0</v>
      </c>
      <c r="F12" s="112">
        <v>50</v>
      </c>
      <c r="G12" s="112">
        <v>0</v>
      </c>
      <c r="H12" s="112">
        <v>65</v>
      </c>
      <c r="I12" s="112">
        <v>0</v>
      </c>
      <c r="J12" s="112">
        <v>80</v>
      </c>
      <c r="K12" s="112">
        <v>0</v>
      </c>
    </row>
    <row r="13" spans="1:11" ht="12.75">
      <c r="A13" s="112">
        <v>2</v>
      </c>
      <c r="B13" s="112" t="s">
        <v>382</v>
      </c>
      <c r="C13" s="112"/>
      <c r="D13" s="113">
        <v>44</v>
      </c>
      <c r="E13" s="113">
        <v>0</v>
      </c>
      <c r="F13" s="112">
        <v>50</v>
      </c>
      <c r="G13" s="112">
        <v>0</v>
      </c>
      <c r="H13" s="112">
        <v>65</v>
      </c>
      <c r="I13" s="112">
        <v>0</v>
      </c>
      <c r="J13" s="112">
        <v>80</v>
      </c>
      <c r="K13" s="112">
        <v>0</v>
      </c>
    </row>
    <row r="14" spans="1:11" ht="12.75">
      <c r="A14" s="112">
        <v>3</v>
      </c>
      <c r="B14" s="112" t="s">
        <v>383</v>
      </c>
      <c r="C14" s="112"/>
      <c r="D14" s="113">
        <v>44</v>
      </c>
      <c r="E14" s="113">
        <v>0</v>
      </c>
      <c r="F14" s="112">
        <v>50</v>
      </c>
      <c r="G14" s="112">
        <v>0</v>
      </c>
      <c r="H14" s="112">
        <v>65</v>
      </c>
      <c r="I14" s="112">
        <v>0</v>
      </c>
      <c r="J14" s="112">
        <v>80</v>
      </c>
      <c r="K14" s="112">
        <v>0</v>
      </c>
    </row>
    <row r="15" spans="1:11" ht="12.75">
      <c r="A15" s="111">
        <v>4</v>
      </c>
      <c r="B15" s="142" t="s">
        <v>384</v>
      </c>
      <c r="C15" s="111"/>
      <c r="D15" s="113">
        <v>44</v>
      </c>
      <c r="E15" s="113">
        <v>0</v>
      </c>
      <c r="F15" s="112">
        <v>50</v>
      </c>
      <c r="G15" s="112">
        <v>0</v>
      </c>
      <c r="H15" s="112">
        <v>65</v>
      </c>
      <c r="I15" s="112">
        <v>0</v>
      </c>
      <c r="J15" s="112">
        <v>80</v>
      </c>
      <c r="K15" s="112">
        <v>0</v>
      </c>
    </row>
    <row r="16" spans="1:11" ht="30.75" customHeight="1">
      <c r="A16" s="112"/>
      <c r="B16" s="141" t="s">
        <v>385</v>
      </c>
      <c r="C16" s="112"/>
      <c r="D16" s="113"/>
      <c r="E16" s="113"/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</row>
    <row r="17" spans="1:11" ht="12.75">
      <c r="A17" s="112">
        <v>1</v>
      </c>
      <c r="B17" s="143" t="s">
        <v>386</v>
      </c>
      <c r="C17" s="112"/>
      <c r="D17" s="113" t="s">
        <v>381</v>
      </c>
      <c r="E17" s="113" t="s">
        <v>381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</row>
    <row r="18" spans="1:11" ht="12.75">
      <c r="A18" s="112">
        <v>2</v>
      </c>
      <c r="B18" s="143" t="s">
        <v>387</v>
      </c>
      <c r="C18" s="112"/>
      <c r="D18" s="113" t="s">
        <v>381</v>
      </c>
      <c r="E18" s="113" t="s">
        <v>381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</row>
    <row r="19" spans="1:11" ht="12.75">
      <c r="A19" s="112">
        <v>3</v>
      </c>
      <c r="B19" s="143" t="s">
        <v>388</v>
      </c>
      <c r="C19" s="112"/>
      <c r="D19" s="113" t="s">
        <v>381</v>
      </c>
      <c r="E19" s="113" t="s">
        <v>381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</row>
    <row r="20" spans="1:11" ht="12.75">
      <c r="A20" s="111">
        <v>4</v>
      </c>
      <c r="B20" s="142" t="s">
        <v>389</v>
      </c>
      <c r="C20" s="111"/>
      <c r="D20" s="110" t="s">
        <v>381</v>
      </c>
      <c r="E20" s="110" t="s">
        <v>381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</row>
    <row r="21" spans="1:11" ht="25.5">
      <c r="A21" s="111"/>
      <c r="B21" s="144" t="s">
        <v>390</v>
      </c>
      <c r="C21" s="111"/>
      <c r="D21" s="113">
        <v>44</v>
      </c>
      <c r="E21" s="113">
        <v>0</v>
      </c>
      <c r="F21" s="112">
        <v>50</v>
      </c>
      <c r="G21" s="112">
        <v>0</v>
      </c>
      <c r="H21" s="112">
        <v>65</v>
      </c>
      <c r="I21" s="112">
        <v>0</v>
      </c>
      <c r="J21" s="112">
        <v>80</v>
      </c>
      <c r="K21" s="112">
        <v>0</v>
      </c>
    </row>
  </sheetData>
  <mergeCells count="11">
    <mergeCell ref="A7:A9"/>
    <mergeCell ref="B7:B9"/>
    <mergeCell ref="C7:C9"/>
    <mergeCell ref="D7:E7"/>
    <mergeCell ref="F7:G7"/>
    <mergeCell ref="H7:I7"/>
    <mergeCell ref="J7:K7"/>
    <mergeCell ref="D8:E8"/>
    <mergeCell ref="F8:G8"/>
    <mergeCell ref="H8:I8"/>
    <mergeCell ref="J8:K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Iulia_Axente</cp:lastModifiedBy>
  <cp:lastPrinted>2013-03-28T09:56:18Z</cp:lastPrinted>
  <dcterms:created xsi:type="dcterms:W3CDTF">1996-10-14T23:33:28Z</dcterms:created>
  <dcterms:modified xsi:type="dcterms:W3CDTF">2013-03-28T10:02:21Z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-1146265100</vt:i4>
  </property>
  <property fmtid="{D5CDD505-2E9C-101B-9397-08002B2CF9AE}" pid="3" name="_EmailSubject">
    <vt:lpwstr>ordin OMF 214</vt:lpwstr>
  </property>
  <property fmtid="{D5CDD505-2E9C-101B-9397-08002B2CF9AE}" pid="4" name="_AuthorEmail">
    <vt:lpwstr>luminita.gherendi@targumuresairport.ro</vt:lpwstr>
  </property>
  <property fmtid="{D5CDD505-2E9C-101B-9397-08002B2CF9AE}" pid="5" name="_AuthorEmailDisplayName">
    <vt:lpwstr>Luminita Gherendi</vt:lpwstr>
  </property>
  <property fmtid="{D5CDD505-2E9C-101B-9397-08002B2CF9AE}" pid="6" name="_ReviewingToolsShownOnce">
    <vt:lpwstr/>
  </property>
</Properties>
</file>